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sources des transports" sheetId="1" state="visible" r:id="rId2"/>
  </sheets>
  <definedNames>
    <definedName function="false" hidden="false" localSheetId="0" name="_xlnm.Print_Area" vbProcedure="false">'Ressources des transports'!$A$1:$Q$114</definedName>
    <definedName function="false" hidden="false" localSheetId="0" name="_xlnm.Print_Area" vbProcedure="false">'Ressources des transports'!$A$13:$AB$90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<sst xmlns="http://schemas.openxmlformats.org/spreadsheetml/2006/main" count="284" uniqueCount="168">
  <si>
    <t xml:space="preserve">Le « match ressources » des transports, AREP, Post n°2, juillet 2023</t>
  </si>
  <si>
    <t xml:space="preserve">par Laurent Castaignède et Philippe Bihouix</t>
  </si>
  <si>
    <t xml:space="preserve">Sources</t>
  </si>
  <si>
    <t xml:space="preserve">ADEME Base Carbone v22</t>
  </si>
  <si>
    <t xml:space="preserve">MTE Datalab 2021-05 Chiffres clés transport</t>
  </si>
  <si>
    <t xml:space="preserve">MTE Datalab 2021-12 Marcher et pédaler</t>
  </si>
  <si>
    <t xml:space="preserve">Airbus Global Market</t>
  </si>
  <si>
    <t xml:space="preserve">Wikipédia</t>
  </si>
  <si>
    <t xml:space="preserve">tramway IdF</t>
  </si>
  <si>
    <t xml:space="preserve">métro de Paris</t>
  </si>
  <si>
    <t xml:space="preserve">RER IdF</t>
  </si>
  <si>
    <t xml:space="preserve">voiture corail</t>
  </si>
  <si>
    <t xml:space="preserve">TGV duplex</t>
  </si>
  <si>
    <t xml:space="preserve">Airbus A320</t>
  </si>
  <si>
    <t xml:space="preserve">estimation LC PB</t>
  </si>
  <si>
    <t xml:space="preserve">résultat de calcul inspirant la valeur retenue</t>
  </si>
  <si>
    <t xml:space="preserve">valeur retenue pour l’article Post n°2</t>
  </si>
  <si>
    <t xml:space="preserve">NB : les résultats présentés doivent être compris comme des ordres de grandeur, avec une incertitude typique de -50% / +100%
(100 correspondant à une valeur entre 50 et 200).</t>
  </si>
  <si>
    <t xml:space="preserve">Matière incorporée dans les véhicules</t>
  </si>
  <si>
    <t xml:space="preserve">évaluation par le véhicule</t>
  </si>
  <si>
    <t xml:space="preserve">évaluation par le parc et le trafic</t>
  </si>
  <si>
    <t xml:space="preserve">moyen de transport</t>
  </si>
  <si>
    <t xml:space="preserve">caractéristique</t>
  </si>
  <si>
    <t xml:space="preserve">masse</t>
  </si>
  <si>
    <t xml:space="preserve">longueur</t>
  </si>
  <si>
    <t xml:space="preserve">surface</t>
  </si>
  <si>
    <t xml:space="preserve">remplissage</t>
  </si>
  <si>
    <t xml:space="preserve">durée de vie</t>
  </si>
  <si>
    <t xml:space="preserve">kilométrage</t>
  </si>
  <si>
    <t xml:space="preserve">matière</t>
  </si>
  <si>
    <t xml:space="preserve">parc</t>
  </si>
  <si>
    <t xml:space="preserve">trafic</t>
  </si>
  <si>
    <t xml:space="preserve">kg</t>
  </si>
  <si>
    <t xml:space="preserve">mL</t>
  </si>
  <si>
    <t xml:space="preserve">m²</t>
  </si>
  <si>
    <t xml:space="preserve">passager</t>
  </si>
  <si>
    <t xml:space="preserve">an</t>
  </si>
  <si>
    <t xml:space="preserve">km</t>
  </si>
  <si>
    <t xml:space="preserve">kg/an/pas.</t>
  </si>
  <si>
    <t xml:space="preserve">g/pas.km</t>
  </si>
  <si>
    <t xml:space="preserve">véhicule</t>
  </si>
  <si>
    <t xml:space="preserve">Mvéh.km/an</t>
  </si>
  <si>
    <t xml:space="preserve">Mpas.km/an</t>
  </si>
  <si>
    <t xml:space="preserve">marche</t>
  </si>
  <si>
    <t xml:space="preserve">semelles de chaussures</t>
  </si>
  <si>
    <t xml:space="preserve">vélo</t>
  </si>
  <si>
    <t xml:space="preserve">bicyclette</t>
  </si>
  <si>
    <t xml:space="preserve">autobus IdF</t>
  </si>
  <si>
    <t xml:space="preserve">12 m (x 1,1 compris 18 m)</t>
  </si>
  <si>
    <t xml:space="preserve">rame</t>
  </si>
  <si>
    <t xml:space="preserve">métro IdF</t>
  </si>
  <si>
    <t xml:space="preserve">voiture</t>
  </si>
  <si>
    <t xml:space="preserve">moyenne France</t>
  </si>
  <si>
    <t xml:space="preserve">train France</t>
  </si>
  <si>
    <t xml:space="preserve">1 locomotive + 6 voitures</t>
  </si>
  <si>
    <t xml:space="preserve">TGV France</t>
  </si>
  <si>
    <t xml:space="preserve">rame duplex</t>
  </si>
  <si>
    <t xml:space="preserve">avion</t>
  </si>
  <si>
    <t xml:space="preserve">Minerai mobilisé par les véhicules</t>
  </si>
  <si>
    <t xml:space="preserve">acier</t>
  </si>
  <si>
    <t xml:space="preserve">aluminium</t>
  </si>
  <si>
    <t xml:space="preserve">cuivre</t>
  </si>
  <si>
    <t xml:space="preserve">titane</t>
  </si>
  <si>
    <t xml:space="preserve">autres</t>
  </si>
  <si>
    <t xml:space="preserve">minerai</t>
  </si>
  <si>
    <t xml:space="preserve">minerai/métal</t>
  </si>
  <si>
    <t xml:space="preserve">coefficient</t>
  </si>
  <si>
    <t xml:space="preserve">coefficient multiplicateur</t>
  </si>
  <si>
    <t xml:space="preserve">source : L'Elémentarium / élément / données industrielles / teneurs des minerais</t>
  </si>
  <si>
    <t xml:space="preserve">chaussures</t>
  </si>
  <si>
    <t xml:space="preserve">autobus</t>
  </si>
  <si>
    <t xml:space="preserve">tramway</t>
  </si>
  <si>
    <t xml:space="preserve">métro</t>
  </si>
  <si>
    <t xml:space="preserve">moyenne US 2017</t>
  </si>
  <si>
    <t xml:space="preserve">ORNL, US transportation energy data book edition 40, février 2022, table 4.20</t>
  </si>
  <si>
    <t xml:space="preserve">RER</t>
  </si>
  <si>
    <t xml:space="preserve">train</t>
  </si>
  <si>
    <t xml:space="preserve">TGV</t>
  </si>
  <si>
    <t xml:space="preserve">L'Usine Nouvelle, 14 sept. 1995, 8 t d'aluminium par wagon ; wikipédia, 8 moteurs de 1500 kg</t>
  </si>
  <si>
    <t xml:space="preserve">Matière incorporée dans les infrastructures</t>
  </si>
  <si>
    <t xml:space="preserve">densité</t>
  </si>
  <si>
    <t xml:space="preserve">largeur</t>
  </si>
  <si>
    <t xml:space="preserve">cycle de vie</t>
  </si>
  <si>
    <t xml:space="preserve">linéique</t>
  </si>
  <si>
    <t xml:space="preserve">surfacique</t>
  </si>
  <si>
    <t xml:space="preserve">surface relative des infrastructures</t>
  </si>
  <si>
    <t xml:space="preserve">Sous-calcul masse</t>
  </si>
  <si>
    <t xml:space="preserve">m</t>
  </si>
  <si>
    <t xml:space="preserve">km²</t>
  </si>
  <si>
    <t xml:space="preserve">véh/infra</t>
  </si>
  <si>
    <t xml:space="preserve">m²/véhicule</t>
  </si>
  <si>
    <t xml:space="preserve">m²/passager</t>
  </si>
  <si>
    <t xml:space="preserve">cm²/pas.km</t>
  </si>
  <si>
    <t xml:space="preserve">kg/m²</t>
  </si>
  <si>
    <t xml:space="preserve">épaisseur moyenne</t>
  </si>
  <si>
    <t xml:space="preserve">sol existant</t>
  </si>
  <si>
    <t xml:space="preserve">véloroutes et voies vertes France</t>
  </si>
  <si>
    <t xml:space="preserve">25 cm densité 2,0</t>
  </si>
  <si>
    <t xml:space="preserve">réseau de bus IdF en site propre</t>
  </si>
  <si>
    <t xml:space="preserve">50 cm densité 2,0</t>
  </si>
  <si>
    <t xml:space="preserve">75 cm densité 2,0</t>
  </si>
  <si>
    <t xml:space="preserve">routes France</t>
  </si>
  <si>
    <t xml:space="preserve">note A</t>
  </si>
  <si>
    <t xml:space="preserve">lignes France hors LGV</t>
  </si>
  <si>
    <t xml:space="preserve">note B</t>
  </si>
  <si>
    <t xml:space="preserve">LGV France</t>
  </si>
  <si>
    <t xml:space="preserve">note C</t>
  </si>
  <si>
    <t xml:space="preserve">aéroports monde (/Roissy-CdG)</t>
  </si>
  <si>
    <t xml:space="preserve">note D</t>
  </si>
  <si>
    <t xml:space="preserve">pistes</t>
  </si>
  <si>
    <t xml:space="preserve">aéroport</t>
  </si>
  <si>
    <t xml:space="preserve">Minerai mobilisé par les infrastructures</t>
  </si>
  <si>
    <t xml:space="preserve">chaux, ciment</t>
  </si>
  <si>
    <t xml:space="preserve">granulats</t>
  </si>
  <si>
    <t xml:space="preserve">1 m² de route</t>
  </si>
  <si>
    <t xml:space="preserve">266 000 ponts =&gt; 1 pont tous les 4 km</t>
  </si>
  <si>
    <t xml:space="preserve">1 mL de voie ferrée</t>
  </si>
  <si>
    <t xml:space="preserve">dont 15 000 t/pont</t>
  </si>
  <si>
    <t xml:space="preserve">1 mL de LGV</t>
  </si>
  <si>
    <t xml:space="preserve">RFF, Bilan Carbone de la LGV Rhin-Rhône</t>
  </si>
  <si>
    <t xml:space="preserve">Matière mobilisée pour un séjour type de vacances</t>
  </si>
  <si>
    <t xml:space="preserve">à</t>
  </si>
  <si>
    <t xml:space="preserve">personnes depuis la région parisienne</t>
  </si>
  <si>
    <t xml:space="preserve">lieu de villégiature</t>
  </si>
  <si>
    <t xml:space="preserve">distance</t>
  </si>
  <si>
    <t xml:space="preserve">trajet</t>
  </si>
  <si>
    <t xml:space="preserve">infrastructure</t>
  </si>
  <si>
    <t xml:space="preserve">véh. + infra.</t>
  </si>
  <si>
    <t xml:space="preserve">émissions marginales de GES</t>
  </si>
  <si>
    <t xml:space="preserve">GES</t>
  </si>
  <si>
    <t xml:space="preserve">km AR</t>
  </si>
  <si>
    <t xml:space="preserve">km.passager</t>
  </si>
  <si>
    <t xml:space="preserve">kg matière</t>
  </si>
  <si>
    <t xml:space="preserve">kg minerai</t>
  </si>
  <si>
    <t xml:space="preserve">gCO2e/km</t>
  </si>
  <si>
    <t xml:space="preserve">kgCO2e</t>
  </si>
  <si>
    <t xml:space="preserve">kg véhicule</t>
  </si>
  <si>
    <t xml:space="preserve">kg infra.</t>
  </si>
  <si>
    <t xml:space="preserve">cyclotourisme</t>
  </si>
  <si>
    <t xml:space="preserve">Bassin d'Arcachon</t>
  </si>
  <si>
    <t xml:space="preserve">Maroc (Agadir)</t>
  </si>
  <si>
    <t xml:space="preserve">note E</t>
  </si>
  <si>
    <t xml:space="preserve">court-courrier</t>
  </si>
  <si>
    <t xml:space="preserve">Matière mobilisée pour un an de trajets domicile-travail</t>
  </si>
  <si>
    <t xml:space="preserve">travail en région parisienne</t>
  </si>
  <si>
    <t xml:space="preserve">lieu de travail</t>
  </si>
  <si>
    <t xml:space="preserve">distorsion de remplissage</t>
  </si>
  <si>
    <t xml:space="preserve">nombre/an</t>
  </si>
  <si>
    <t xml:space="preserve">km.véhicule</t>
  </si>
  <si>
    <t xml:space="preserve">quartier</t>
  </si>
  <si>
    <t xml:space="preserve">ville (hypothèse matière 1 vélo/an)</t>
  </si>
  <si>
    <t xml:space="preserve">ville</t>
  </si>
  <si>
    <t xml:space="preserve">ville proche</t>
  </si>
  <si>
    <t xml:space="preserve">banlieue</t>
  </si>
  <si>
    <t xml:space="preserve">Rambouillet</t>
  </si>
  <si>
    <t xml:space="preserve">Le Mans 2,5 jours/semaine</t>
  </si>
  <si>
    <t xml:space="preserve">Nice 1 jour/semaine</t>
  </si>
  <si>
    <t xml:space="preserve">Notes</t>
  </si>
  <si>
    <t xml:space="preserve">A</t>
  </si>
  <si>
    <t xml:space="preserve">valeur qui intègre un prorata de +50 % d’ouvrages d’art et de parkings</t>
  </si>
  <si>
    <t xml:space="preserve">B</t>
  </si>
  <si>
    <t xml:space="preserve">valeur qui intègre les passages à niveau et leurs ouvrages</t>
  </si>
  <si>
    <t xml:space="preserve">C</t>
  </si>
  <si>
    <t xml:space="preserve">valeur déduite du bilan carbone de la LGV Rhin-Rhône</t>
  </si>
  <si>
    <t xml:space="preserve">D</t>
  </si>
  <si>
    <t xml:space="preserve">valeur qui intègre les structures des bâtiments aéroportuaires</t>
  </si>
  <si>
    <t xml:space="preserve">E</t>
  </si>
  <si>
    <t xml:space="preserve">la somme de la colonne correspond à environ 500 Mt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</si>
</sst>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"/>
    <numFmt numFmtId="167" formatCode="0.00"/>
    <numFmt numFmtId="168" formatCode="0.0"/>
    <numFmt numFmtId="169" formatCode="General"/>
    <numFmt numFmtId="170" formatCode="0.000"/>
    <numFmt numFmtId="171" formatCode="#,##0.000"/>
    <numFmt numFmtId="172" formatCode="0.0\ %"/>
    <numFmt numFmtId="173" formatCode="#,##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0000FF"/>
      <name val="Arial"/>
      <family val="2"/>
      <charset val="1"/>
    </font>
    <font>
      <sz val="1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D32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CCCCCC"/>
      </patternFill>
    </fill>
    <fill>
      <patternFill patternType="solid">
        <fgColor rgb="FFE6E6FF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8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9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0" fillId="6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6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8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5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9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9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8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9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7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7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8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8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8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7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9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7" borderId="1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9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8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7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9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se-empreinte.ademe.fr/" TargetMode="External"/><Relationship Id="rId2" Type="http://schemas.openxmlformats.org/officeDocument/2006/relationships/hyperlink" Target="https://www.statistiques.developpement-durable.gouv.fr/edition-numerique/chiffres-cles-transport-2021/" TargetMode="External"/><Relationship Id="rId3" Type="http://schemas.openxmlformats.org/officeDocument/2006/relationships/hyperlink" Target="https://www.statistiques.developpement-durable.gouv.fr/marcher-et-pedaler-les-pratiques-des-francais" TargetMode="External"/><Relationship Id="rId4" Type="http://schemas.openxmlformats.org/officeDocument/2006/relationships/hyperlink" Target="https://www.airbus.com/en/products-services/commercial-aircraft/market/global-market-forecast" TargetMode="External"/><Relationship Id="rId5" Type="http://schemas.openxmlformats.org/officeDocument/2006/relationships/hyperlink" Target="https://fr.wikipedia.org/wiki/Tramway_d%27&#206;le-de-France" TargetMode="External"/><Relationship Id="rId6" Type="http://schemas.openxmlformats.org/officeDocument/2006/relationships/hyperlink" Target="https://fr.wikipedia.org/wiki/M&#233;tro_de_Paris" TargetMode="External"/><Relationship Id="rId7" Type="http://schemas.openxmlformats.org/officeDocument/2006/relationships/hyperlink" Target="https://fr.wikipedia.org/wiki/R&#233;seau_express_r&#233;gional_d%27&#206;le-de-France" TargetMode="External"/><Relationship Id="rId8" Type="http://schemas.openxmlformats.org/officeDocument/2006/relationships/hyperlink" Target="https://fr.wikipedia.org/wiki/Voiture_Corail" TargetMode="External"/><Relationship Id="rId9" Type="http://schemas.openxmlformats.org/officeDocument/2006/relationships/hyperlink" Target="https://fr.wikipedia.org/wiki/TGV_Duplex" TargetMode="External"/><Relationship Id="rId10" Type="http://schemas.openxmlformats.org/officeDocument/2006/relationships/hyperlink" Target="https://fr.wikipedia.org/wiki/Airbus_A320" TargetMode="External"/><Relationship Id="rId11" Type="http://schemas.openxmlformats.org/officeDocument/2006/relationships/hyperlink" Target="https://lelementarium.fr/" TargetMode="External"/><Relationship Id="rId12" Type="http://schemas.openxmlformats.org/officeDocument/2006/relationships/hyperlink" Target="https://tedb.ornl.gov/" TargetMode="External"/><Relationship Id="rId13" Type="http://schemas.openxmlformats.org/officeDocument/2006/relationships/hyperlink" Target="https://www.usinenouvelle.com/article/materiaux-aluminium-et-magnesium-prennent-le-tgv.N76461" TargetMode="External"/><Relationship Id="rId14" Type="http://schemas.openxmlformats.org/officeDocument/2006/relationships/hyperlink" Target="https://fr.wikipedia.org/wiki/Gestion_et_entretien_des_ponts_en_France" TargetMode="External"/><Relationship Id="rId15" Type="http://schemas.openxmlformats.org/officeDocument/2006/relationships/hyperlink" Target="https://pdfslide.net/documents/rff-rff-bilan-carbone-la-ligne-grande-vitesse-rhin-rhne-au-service.html?page=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N143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J64" activeCellId="0" sqref="J6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2" width="30.65"/>
    <col collapsed="false" customWidth="true" hidden="false" outlineLevel="0" max="13" min="3" style="2" width="12.76"/>
    <col collapsed="false" customWidth="true" hidden="false" outlineLevel="0" max="15" min="14" style="2" width="13.28"/>
    <col collapsed="false" customWidth="true" hidden="false" outlineLevel="0" max="16" min="16" style="2" width="12.76"/>
    <col collapsed="false" customWidth="true" hidden="false" outlineLevel="0" max="17" min="17" style="3" width="12.76"/>
    <col collapsed="false" customWidth="true" hidden="false" outlineLevel="0" max="18" min="18" style="2" width="28.09"/>
    <col collapsed="false" customWidth="false" hidden="false" outlineLevel="0" max="21" min="19" style="2" width="11.53"/>
    <col collapsed="false" customWidth="false" hidden="false" outlineLevel="0" max="30" min="30" style="4" width="11.53"/>
  </cols>
  <sheetData>
    <row r="1" customFormat="false" ht="15" hidden="false" customHeight="false" outlineLevel="0" collapsed="false">
      <c r="A1" s="5" t="s">
        <v>0</v>
      </c>
      <c r="B1" s="6"/>
      <c r="C1" s="6"/>
      <c r="D1" s="6"/>
      <c r="E1" s="6"/>
      <c r="F1" s="7" t="s">
        <v>1</v>
      </c>
      <c r="G1" s="6"/>
      <c r="H1" s="6"/>
      <c r="I1" s="6"/>
      <c r="J1" s="6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8"/>
      <c r="AA1" s="8"/>
      <c r="AB1" s="8"/>
      <c r="AC1" s="8"/>
      <c r="AD1" s="9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</row>
    <row r="2" customFormat="false" ht="13.8" hidden="false" customHeight="false" outlineLevel="0" collapsed="false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Y2" s="6"/>
      <c r="Z2" s="8"/>
      <c r="AA2" s="8"/>
      <c r="AB2" s="8"/>
      <c r="AC2" s="8"/>
      <c r="AD2" s="9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</row>
    <row r="3" customFormat="false" ht="12.8" hidden="false" customHeight="false" outlineLevel="0" collapsed="false">
      <c r="A3" s="10" t="s">
        <v>2</v>
      </c>
      <c r="B3" s="11" t="s">
        <v>3</v>
      </c>
      <c r="C3" s="12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X3" s="6"/>
      <c r="Y3" s="6"/>
      <c r="Z3" s="8"/>
      <c r="AA3" s="8"/>
      <c r="AB3" s="8"/>
      <c r="AC3" s="8"/>
      <c r="AD3" s="9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</row>
    <row r="4" customFormat="false" ht="13.8" hidden="false" customHeight="false" outlineLevel="0" collapsed="false">
      <c r="A4" s="7"/>
      <c r="B4" s="13" t="s">
        <v>4</v>
      </c>
      <c r="C4" s="14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  <c r="T4" s="6"/>
      <c r="U4" s="6"/>
      <c r="V4" s="6"/>
      <c r="W4" s="6"/>
      <c r="X4" s="6"/>
      <c r="Y4" s="6"/>
      <c r="Z4" s="8"/>
      <c r="AA4" s="8"/>
      <c r="AB4" s="8"/>
      <c r="AC4" s="8"/>
      <c r="AD4" s="9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</row>
    <row r="5" customFormat="false" ht="13.8" hidden="false" customHeight="false" outlineLevel="0" collapsed="false">
      <c r="A5" s="7"/>
      <c r="B5" s="15" t="s">
        <v>5</v>
      </c>
      <c r="C5" s="1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6"/>
      <c r="S5" s="6"/>
      <c r="T5" s="6"/>
      <c r="U5" s="6"/>
      <c r="V5" s="6"/>
      <c r="W5" s="6"/>
      <c r="X5" s="6"/>
      <c r="Y5" s="6"/>
      <c r="Z5" s="8"/>
      <c r="AA5" s="8"/>
      <c r="AB5" s="8"/>
      <c r="AC5" s="8"/>
      <c r="AD5" s="9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</row>
    <row r="6" customFormat="false" ht="13.8" hidden="false" customHeight="false" outlineLevel="0" collapsed="false">
      <c r="A6" s="7"/>
      <c r="B6" s="17" t="s">
        <v>6</v>
      </c>
      <c r="C6" s="18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6"/>
      <c r="S6" s="6"/>
      <c r="T6" s="6"/>
      <c r="U6" s="6"/>
      <c r="V6" s="6"/>
      <c r="W6" s="6"/>
      <c r="X6" s="6"/>
      <c r="Y6" s="6"/>
      <c r="Z6" s="8"/>
      <c r="AA6" s="8"/>
      <c r="AB6" s="8"/>
      <c r="AC6" s="8"/>
      <c r="AD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</row>
    <row r="7" s="24" customFormat="true" ht="13.8" hidden="false" customHeight="false" outlineLevel="0" collapsed="false">
      <c r="A7" s="19"/>
      <c r="B7" s="20" t="s">
        <v>7</v>
      </c>
      <c r="C7" s="21" t="s">
        <v>8</v>
      </c>
      <c r="D7" s="21" t="s">
        <v>9</v>
      </c>
      <c r="E7" s="21" t="s">
        <v>10</v>
      </c>
      <c r="F7" s="21" t="s">
        <v>11</v>
      </c>
      <c r="G7" s="21" t="s">
        <v>12</v>
      </c>
      <c r="H7" s="21" t="s">
        <v>13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2"/>
      <c r="AA7" s="22"/>
      <c r="AB7" s="22"/>
      <c r="AC7" s="22"/>
      <c r="AD7" s="23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</row>
    <row r="8" customFormat="false" ht="13.8" hidden="false" customHeight="false" outlineLevel="0" collapsed="false">
      <c r="A8" s="7"/>
      <c r="B8" s="25" t="s">
        <v>14</v>
      </c>
      <c r="C8" s="26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R8" s="6"/>
      <c r="S8" s="6"/>
      <c r="T8" s="6"/>
      <c r="U8" s="6"/>
      <c r="V8" s="6"/>
      <c r="W8" s="6"/>
      <c r="X8" s="6"/>
      <c r="Y8" s="6"/>
      <c r="Z8" s="8"/>
      <c r="AA8" s="8"/>
      <c r="AB8" s="8"/>
      <c r="AC8" s="8"/>
      <c r="AD8" s="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</row>
    <row r="9" customFormat="false" ht="13.8" hidden="false" customHeight="false" outlineLevel="0" collapsed="false">
      <c r="A9" s="7"/>
      <c r="B9" s="27" t="s">
        <v>15</v>
      </c>
      <c r="C9" s="28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R9" s="6"/>
      <c r="S9" s="6"/>
      <c r="T9" s="6"/>
      <c r="U9" s="6"/>
      <c r="V9" s="6"/>
      <c r="W9" s="6"/>
      <c r="X9" s="6"/>
      <c r="Y9" s="6"/>
      <c r="Z9" s="8"/>
      <c r="AA9" s="8"/>
      <c r="AB9" s="8"/>
      <c r="AC9" s="8"/>
      <c r="AD9" s="9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</row>
    <row r="10" customFormat="false" ht="13.8" hidden="false" customHeight="false" outlineLevel="0" collapsed="false">
      <c r="A10" s="7"/>
      <c r="B10" s="29" t="s">
        <v>16</v>
      </c>
      <c r="C10" s="30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R10" s="6"/>
      <c r="S10" s="6"/>
      <c r="T10" s="6"/>
      <c r="U10" s="6"/>
      <c r="V10" s="6"/>
      <c r="W10" s="6"/>
      <c r="X10" s="6"/>
      <c r="Y10" s="6"/>
      <c r="Z10" s="8"/>
      <c r="AA10" s="8"/>
      <c r="AB10" s="8"/>
      <c r="AC10" s="8"/>
      <c r="AD10" s="9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</row>
    <row r="11" customFormat="false" ht="23.85" hidden="false" customHeight="true" outlineLevel="0" collapsed="false">
      <c r="A11" s="7"/>
      <c r="B11" s="31" t="s">
        <v>17</v>
      </c>
      <c r="C11" s="31"/>
      <c r="D11" s="31"/>
      <c r="E11" s="31"/>
      <c r="F11" s="31"/>
      <c r="G11" s="31"/>
      <c r="H11" s="31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  <c r="W11" s="6"/>
      <c r="X11" s="6"/>
      <c r="Y11" s="6"/>
      <c r="Z11" s="8"/>
      <c r="AA11" s="8"/>
      <c r="AB11" s="8"/>
      <c r="AC11" s="8"/>
      <c r="AD11" s="9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</row>
    <row r="12" customFormat="false" ht="13.8" hidden="false" customHeight="false" outlineLevel="0" collapsed="false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R12" s="6"/>
      <c r="S12" s="6"/>
      <c r="T12" s="6"/>
      <c r="U12" s="6"/>
      <c r="V12" s="6"/>
      <c r="W12" s="6"/>
      <c r="X12" s="6"/>
      <c r="Y12" s="6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customFormat="false" ht="12.8" hidden="false" customHeight="false" outlineLevel="0" collapsed="false">
      <c r="A13" s="32" t="s">
        <v>18</v>
      </c>
      <c r="B13" s="33"/>
      <c r="C13" s="34"/>
      <c r="D13" s="34"/>
      <c r="E13" s="34"/>
      <c r="F13" s="34"/>
      <c r="G13" s="34"/>
      <c r="H13" s="6"/>
      <c r="I13" s="6"/>
      <c r="J13" s="6"/>
      <c r="K13" s="6"/>
      <c r="L13" s="6"/>
      <c r="M13" s="6"/>
      <c r="N13" s="6"/>
      <c r="O13" s="6"/>
      <c r="P13" s="6"/>
      <c r="R13" s="6"/>
      <c r="S13" s="6"/>
      <c r="T13" s="6"/>
      <c r="U13" s="6"/>
      <c r="V13" s="6"/>
      <c r="W13" s="6"/>
      <c r="X13" s="6"/>
      <c r="Y13" s="6"/>
      <c r="Z13" s="8"/>
      <c r="AA13" s="8"/>
      <c r="AB13" s="8"/>
      <c r="AC13" s="8"/>
      <c r="AD13" s="9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</row>
    <row r="14" s="41" customFormat="true" ht="12.8" hidden="false" customHeight="false" outlineLevel="0" collapsed="false">
      <c r="A14" s="35"/>
      <c r="B14" s="35"/>
      <c r="C14" s="35"/>
      <c r="D14" s="35"/>
      <c r="E14" s="36"/>
      <c r="F14" s="36"/>
      <c r="G14" s="36"/>
      <c r="H14" s="36"/>
      <c r="I14" s="37" t="s">
        <v>19</v>
      </c>
      <c r="J14" s="37"/>
      <c r="K14" s="36"/>
      <c r="L14" s="36"/>
      <c r="M14" s="36"/>
      <c r="N14" s="37" t="s">
        <v>20</v>
      </c>
      <c r="O14" s="37"/>
      <c r="P14" s="35"/>
      <c r="Q14" s="36"/>
      <c r="R14" s="38"/>
      <c r="S14" s="38"/>
      <c r="T14" s="38"/>
      <c r="U14" s="38"/>
      <c r="V14" s="38"/>
      <c r="W14" s="38"/>
      <c r="X14" s="38"/>
      <c r="Y14" s="38"/>
      <c r="Z14" s="39"/>
      <c r="AA14" s="39"/>
      <c r="AB14" s="39"/>
      <c r="AC14" s="39"/>
      <c r="AD14" s="40"/>
      <c r="AE14" s="39"/>
      <c r="AF14" s="39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</row>
    <row r="15" s="41" customFormat="true" ht="12.8" hidden="false" customHeight="false" outlineLevel="0" collapsed="false">
      <c r="A15" s="42" t="s">
        <v>21</v>
      </c>
      <c r="B15" s="43" t="s">
        <v>22</v>
      </c>
      <c r="C15" s="44" t="s">
        <v>23</v>
      </c>
      <c r="D15" s="44" t="s">
        <v>24</v>
      </c>
      <c r="E15" s="44" t="s">
        <v>25</v>
      </c>
      <c r="F15" s="44" t="s">
        <v>26</v>
      </c>
      <c r="G15" s="44" t="s">
        <v>27</v>
      </c>
      <c r="H15" s="45" t="s">
        <v>28</v>
      </c>
      <c r="I15" s="46" t="s">
        <v>29</v>
      </c>
      <c r="J15" s="47" t="s">
        <v>29</v>
      </c>
      <c r="K15" s="44" t="s">
        <v>30</v>
      </c>
      <c r="L15" s="45" t="s">
        <v>31</v>
      </c>
      <c r="M15" s="45"/>
      <c r="N15" s="46" t="s">
        <v>29</v>
      </c>
      <c r="O15" s="48" t="s">
        <v>29</v>
      </c>
      <c r="P15" s="48"/>
      <c r="Q15" s="36"/>
      <c r="R15" s="38"/>
      <c r="S15" s="38"/>
      <c r="T15" s="38"/>
      <c r="U15" s="38"/>
      <c r="V15" s="38"/>
      <c r="W15" s="38"/>
      <c r="X15" s="38"/>
      <c r="Y15" s="38"/>
      <c r="Z15" s="39"/>
      <c r="AA15" s="39"/>
      <c r="AB15" s="39"/>
      <c r="AC15" s="39"/>
      <c r="AD15" s="40"/>
      <c r="AE15" s="39"/>
      <c r="AF15" s="39"/>
    </row>
    <row r="16" s="41" customFormat="true" ht="12.8" hidden="false" customHeight="false" outlineLevel="0" collapsed="false">
      <c r="A16" s="42"/>
      <c r="B16" s="43"/>
      <c r="C16" s="49" t="s">
        <v>32</v>
      </c>
      <c r="D16" s="49" t="s">
        <v>33</v>
      </c>
      <c r="E16" s="49" t="s">
        <v>34</v>
      </c>
      <c r="F16" s="49" t="s">
        <v>35</v>
      </c>
      <c r="G16" s="49" t="s">
        <v>36</v>
      </c>
      <c r="H16" s="49" t="s">
        <v>37</v>
      </c>
      <c r="I16" s="50" t="s">
        <v>38</v>
      </c>
      <c r="J16" s="51" t="s">
        <v>39</v>
      </c>
      <c r="K16" s="49" t="s">
        <v>40</v>
      </c>
      <c r="L16" s="49" t="s">
        <v>41</v>
      </c>
      <c r="M16" s="49" t="s">
        <v>42</v>
      </c>
      <c r="N16" s="50" t="s">
        <v>38</v>
      </c>
      <c r="O16" s="52" t="s">
        <v>39</v>
      </c>
      <c r="P16" s="52"/>
      <c r="Q16" s="36"/>
      <c r="R16" s="38"/>
      <c r="S16" s="38"/>
      <c r="T16" s="38"/>
      <c r="U16" s="38"/>
      <c r="V16" s="38"/>
      <c r="W16" s="38"/>
      <c r="X16" s="38"/>
      <c r="Y16" s="38"/>
      <c r="Z16" s="39"/>
      <c r="AA16" s="39"/>
      <c r="AB16" s="39"/>
      <c r="AC16" s="39"/>
      <c r="AD16" s="40"/>
      <c r="AE16" s="39"/>
      <c r="AF16" s="39"/>
    </row>
    <row r="17" customFormat="false" ht="12.8" hidden="false" customHeight="false" outlineLevel="0" collapsed="false">
      <c r="A17" s="53" t="s">
        <v>43</v>
      </c>
      <c r="B17" s="54" t="s">
        <v>44</v>
      </c>
      <c r="C17" s="55" t="n">
        <v>0.1</v>
      </c>
      <c r="D17" s="55" t="n">
        <v>0.3</v>
      </c>
      <c r="E17" s="55" t="n">
        <f aca="false">D17*0.2</f>
        <v>0.06</v>
      </c>
      <c r="F17" s="55" t="n">
        <v>1</v>
      </c>
      <c r="G17" s="55" t="n">
        <v>1</v>
      </c>
      <c r="H17" s="56" t="n">
        <v>1000</v>
      </c>
      <c r="I17" s="57" t="n">
        <f aca="false">C17/G17/F17</f>
        <v>0.1</v>
      </c>
      <c r="J17" s="58" t="n">
        <f aca="false">C17/F17/H17*1000</f>
        <v>0.1</v>
      </c>
      <c r="L17" s="59"/>
      <c r="M17" s="59"/>
      <c r="N17" s="60" t="n">
        <f aca="false">I17</f>
        <v>0.1</v>
      </c>
      <c r="O17" s="58" t="n">
        <f aca="false">J17</f>
        <v>0.1</v>
      </c>
      <c r="P17" s="61"/>
      <c r="R17" s="6"/>
      <c r="S17" s="6"/>
      <c r="T17" s="6"/>
      <c r="U17" s="6"/>
      <c r="V17" s="6"/>
      <c r="W17" s="6"/>
      <c r="X17" s="6"/>
      <c r="Y17" s="6"/>
      <c r="Z17" s="8"/>
      <c r="AA17" s="8"/>
      <c r="AB17" s="8"/>
      <c r="AC17" s="8"/>
      <c r="AD17" s="9"/>
      <c r="AE17" s="8"/>
      <c r="AF17" s="8"/>
    </row>
    <row r="18" customFormat="false" ht="12.8" hidden="false" customHeight="false" outlineLevel="0" collapsed="false">
      <c r="A18" s="62" t="s">
        <v>45</v>
      </c>
      <c r="B18" s="54" t="s">
        <v>46</v>
      </c>
      <c r="C18" s="55" t="n">
        <v>15</v>
      </c>
      <c r="D18" s="55" t="n">
        <v>1.8</v>
      </c>
      <c r="E18" s="55" t="n">
        <v>1</v>
      </c>
      <c r="F18" s="55" t="n">
        <v>1</v>
      </c>
      <c r="G18" s="55" t="n">
        <v>6</v>
      </c>
      <c r="H18" s="56" t="n">
        <v>8000</v>
      </c>
      <c r="I18" s="57" t="n">
        <f aca="false">C18/G18/F18</f>
        <v>2.5</v>
      </c>
      <c r="J18" s="63" t="n">
        <f aca="false">C18/F18/H18*1000</f>
        <v>1.875</v>
      </c>
      <c r="K18" s="64" t="n">
        <f aca="false">16600000/3</f>
        <v>5533333.33333333</v>
      </c>
      <c r="L18" s="64" t="n">
        <f aca="false">3*0.026*3.4*365*50</f>
        <v>4839.9</v>
      </c>
      <c r="M18" s="59" t="n">
        <f aca="false">L18/F18</f>
        <v>4839.9</v>
      </c>
      <c r="N18" s="60" t="n">
        <f aca="false">C18*L18/M18/G18</f>
        <v>2.5</v>
      </c>
      <c r="O18" s="63" t="n">
        <f aca="false">C18*K18/G18/M18/1000</f>
        <v>2.85818577518819</v>
      </c>
      <c r="P18" s="65" t="n">
        <v>2.5</v>
      </c>
      <c r="R18" s="6"/>
      <c r="S18" s="6"/>
      <c r="T18" s="6"/>
      <c r="U18" s="6"/>
      <c r="V18" s="6"/>
      <c r="W18" s="6"/>
      <c r="X18" s="6"/>
      <c r="Y18" s="6"/>
      <c r="Z18" s="8"/>
      <c r="AA18" s="8"/>
      <c r="AB18" s="8"/>
      <c r="AC18" s="8"/>
      <c r="AD18" s="9"/>
      <c r="AE18" s="8"/>
      <c r="AF18" s="8"/>
    </row>
    <row r="19" customFormat="false" ht="12.8" hidden="false" customHeight="false" outlineLevel="0" collapsed="false">
      <c r="A19" s="53" t="s">
        <v>47</v>
      </c>
      <c r="B19" s="54" t="s">
        <v>48</v>
      </c>
      <c r="C19" s="66" t="n">
        <f aca="false">10700*1.1</f>
        <v>11770</v>
      </c>
      <c r="D19" s="67" t="n">
        <f aca="false">12*1.1</f>
        <v>13.2</v>
      </c>
      <c r="E19" s="67" t="n">
        <f aca="false">D19*2.4</f>
        <v>31.68</v>
      </c>
      <c r="F19" s="68" t="n">
        <f aca="false">10*1.1</f>
        <v>11</v>
      </c>
      <c r="G19" s="55" t="n">
        <v>20</v>
      </c>
      <c r="H19" s="66" t="n">
        <v>480000</v>
      </c>
      <c r="I19" s="57" t="n">
        <f aca="false">C19/G19/F19</f>
        <v>53.5</v>
      </c>
      <c r="J19" s="58" t="n">
        <f aca="false">C19/F19/H19*1000</f>
        <v>2.22916666666667</v>
      </c>
      <c r="K19" s="69" t="n">
        <f aca="false">22400*(1014+5852)/(1014+5852+8785)</f>
        <v>9826.745894831</v>
      </c>
      <c r="L19" s="69" t="n">
        <v>167</v>
      </c>
      <c r="M19" s="69" t="n">
        <v>5852</v>
      </c>
      <c r="N19" s="60" t="n">
        <f aca="false">C19*L19/M19/G19</f>
        <v>16.7941729323308</v>
      </c>
      <c r="O19" s="58" t="n">
        <f aca="false">C19*K19/G19/M19/1000</f>
        <v>0.988215987544095</v>
      </c>
      <c r="P19" s="61"/>
      <c r="R19" s="6"/>
      <c r="S19" s="6"/>
      <c r="T19" s="6"/>
      <c r="U19" s="6"/>
      <c r="V19" s="6"/>
      <c r="W19" s="6"/>
      <c r="X19" s="6"/>
      <c r="Y19" s="6"/>
      <c r="Z19" s="8"/>
      <c r="AA19" s="8"/>
      <c r="AB19" s="8"/>
      <c r="AC19" s="8"/>
      <c r="AD19" s="9"/>
      <c r="AE19" s="8"/>
      <c r="AF19" s="8"/>
    </row>
    <row r="20" customFormat="false" ht="12.8" hidden="false" customHeight="false" outlineLevel="0" collapsed="false">
      <c r="A20" s="53" t="s">
        <v>8</v>
      </c>
      <c r="B20" s="54" t="s">
        <v>49</v>
      </c>
      <c r="C20" s="66" t="n">
        <v>45013</v>
      </c>
      <c r="D20" s="70" t="n">
        <v>40</v>
      </c>
      <c r="E20" s="70" t="n">
        <f aca="false">D20*2.5</f>
        <v>100</v>
      </c>
      <c r="F20" s="66" t="n">
        <f aca="false">263*0.77</f>
        <v>202.51</v>
      </c>
      <c r="G20" s="67" t="n">
        <v>25</v>
      </c>
      <c r="H20" s="66" t="n">
        <v>2179000</v>
      </c>
      <c r="I20" s="57" t="n">
        <f aca="false">C20/G20/F20</f>
        <v>8.89101772751963</v>
      </c>
      <c r="J20" s="58" t="n">
        <f aca="false">C20/F20/H20*1000</f>
        <v>0.102008005134461</v>
      </c>
      <c r="K20" s="69" t="n">
        <v>293</v>
      </c>
      <c r="L20" s="69" t="n">
        <v>14</v>
      </c>
      <c r="M20" s="69" t="n">
        <v>1014</v>
      </c>
      <c r="N20" s="60" t="n">
        <f aca="false">C20*L20/M20/G20</f>
        <v>24.8592504930966</v>
      </c>
      <c r="O20" s="58" t="n">
        <f aca="false">C20*K20/G20/M20/1000</f>
        <v>0.520268599605523</v>
      </c>
      <c r="P20" s="61"/>
      <c r="R20" s="6"/>
      <c r="S20" s="6"/>
      <c r="T20" s="6"/>
      <c r="U20" s="6"/>
      <c r="V20" s="6"/>
      <c r="W20" s="6"/>
      <c r="X20" s="6"/>
      <c r="Y20" s="6"/>
      <c r="Z20" s="8"/>
      <c r="AA20" s="8"/>
      <c r="AB20" s="8"/>
      <c r="AC20" s="8"/>
      <c r="AD20" s="9"/>
      <c r="AE20" s="8"/>
      <c r="AF20" s="8"/>
    </row>
    <row r="21" customFormat="false" ht="12.8" hidden="false" customHeight="false" outlineLevel="0" collapsed="false">
      <c r="A21" s="53" t="s">
        <v>50</v>
      </c>
      <c r="B21" s="54" t="s">
        <v>49</v>
      </c>
      <c r="C21" s="66" t="n">
        <v>140020</v>
      </c>
      <c r="D21" s="70" t="n">
        <v>80</v>
      </c>
      <c r="E21" s="70" t="n">
        <f aca="false">D21*2.8</f>
        <v>224</v>
      </c>
      <c r="F21" s="66" t="n">
        <f aca="false">824*0.78</f>
        <v>642.72</v>
      </c>
      <c r="G21" s="67" t="n">
        <v>30</v>
      </c>
      <c r="H21" s="66" t="n">
        <v>3897243</v>
      </c>
      <c r="I21" s="57" t="n">
        <f aca="false">C21/G21/F21</f>
        <v>7.26184549000083</v>
      </c>
      <c r="J21" s="58" t="n">
        <f aca="false">C21/F21/H21*1000</f>
        <v>0.0558998668289416</v>
      </c>
      <c r="K21" s="69" t="n">
        <v>719</v>
      </c>
      <c r="L21" s="69" t="n">
        <v>47</v>
      </c>
      <c r="M21" s="69" t="n">
        <v>7803</v>
      </c>
      <c r="N21" s="60" t="n">
        <f aca="false">C21*L21/M21/G21</f>
        <v>28.1128625742236</v>
      </c>
      <c r="O21" s="58" t="n">
        <f aca="false">C21*K21/G21/M21/1000</f>
        <v>0.430066982784399</v>
      </c>
      <c r="P21" s="61"/>
      <c r="R21" s="6"/>
      <c r="S21" s="6"/>
      <c r="T21" s="6"/>
      <c r="U21" s="6"/>
      <c r="V21" s="6"/>
      <c r="W21" s="6"/>
      <c r="X21" s="6"/>
      <c r="Y21" s="6"/>
      <c r="Z21" s="8"/>
      <c r="AA21" s="8"/>
      <c r="AB21" s="8"/>
      <c r="AC21" s="8"/>
      <c r="AD21" s="9"/>
      <c r="AE21" s="8"/>
      <c r="AF21" s="8"/>
    </row>
    <row r="22" customFormat="false" ht="12.8" hidden="false" customHeight="false" outlineLevel="0" collapsed="false">
      <c r="A22" s="62" t="s">
        <v>51</v>
      </c>
      <c r="B22" s="54" t="s">
        <v>52</v>
      </c>
      <c r="C22" s="66" t="n">
        <v>1400</v>
      </c>
      <c r="D22" s="71" t="n">
        <v>4.3</v>
      </c>
      <c r="E22" s="71" t="n">
        <f aca="false">D22*1.8</f>
        <v>7.74</v>
      </c>
      <c r="F22" s="55" t="n">
        <v>1.6</v>
      </c>
      <c r="G22" s="55" t="n">
        <v>20</v>
      </c>
      <c r="H22" s="66" t="n">
        <v>150000</v>
      </c>
      <c r="I22" s="57" t="n">
        <f aca="false">C22/G22/F22</f>
        <v>43.75</v>
      </c>
      <c r="J22" s="63" t="n">
        <f aca="false">C22/F22/H22*1000</f>
        <v>5.83333333333333</v>
      </c>
      <c r="K22" s="69" t="n">
        <v>37728000</v>
      </c>
      <c r="L22" s="59"/>
      <c r="M22" s="69" t="n">
        <v>708600</v>
      </c>
      <c r="N22" s="60"/>
      <c r="O22" s="63" t="n">
        <f aca="false">C22*K22/G22/M22/1000</f>
        <v>3.72701100762066</v>
      </c>
      <c r="P22" s="65" t="n">
        <v>4.5</v>
      </c>
      <c r="R22" s="6"/>
      <c r="S22" s="6"/>
      <c r="T22" s="6"/>
      <c r="U22" s="6"/>
      <c r="V22" s="6"/>
      <c r="W22" s="6"/>
      <c r="X22" s="6"/>
      <c r="Y22" s="6"/>
      <c r="Z22" s="8"/>
      <c r="AA22" s="8"/>
      <c r="AB22" s="8"/>
      <c r="AC22" s="8"/>
      <c r="AD22" s="9"/>
      <c r="AE22" s="8"/>
      <c r="AF22" s="8"/>
    </row>
    <row r="23" customFormat="false" ht="12.8" hidden="false" customHeight="false" outlineLevel="0" collapsed="false">
      <c r="A23" s="53" t="s">
        <v>10</v>
      </c>
      <c r="B23" s="54" t="s">
        <v>49</v>
      </c>
      <c r="C23" s="70" t="n">
        <v>220000</v>
      </c>
      <c r="D23" s="70" t="n">
        <v>100</v>
      </c>
      <c r="E23" s="70" t="n">
        <f aca="false">D23*3</f>
        <v>300</v>
      </c>
      <c r="F23" s="72" t="n">
        <f aca="false">800*0.7</f>
        <v>560</v>
      </c>
      <c r="G23" s="55" t="n">
        <v>30</v>
      </c>
      <c r="H23" s="59"/>
      <c r="I23" s="57" t="n">
        <f aca="false">C23/G23/F23</f>
        <v>13.0952380952381</v>
      </c>
      <c r="J23" s="58"/>
      <c r="K23" s="69" t="n">
        <v>286</v>
      </c>
      <c r="L23" s="69" t="n">
        <v>40</v>
      </c>
      <c r="M23" s="69" t="n">
        <v>19479</v>
      </c>
      <c r="N23" s="60" t="n">
        <f aca="false">C23*L23/M23/G23</f>
        <v>15.0589523760631</v>
      </c>
      <c r="O23" s="58" t="n">
        <f aca="false">C23*K23/G23/M23/1000</f>
        <v>0.107671509488851</v>
      </c>
      <c r="P23" s="61"/>
      <c r="R23" s="6"/>
      <c r="S23" s="6"/>
      <c r="T23" s="6"/>
      <c r="U23" s="6"/>
      <c r="V23" s="6"/>
      <c r="W23" s="6"/>
      <c r="X23" s="6"/>
      <c r="Y23" s="6"/>
      <c r="Z23" s="8"/>
      <c r="AA23" s="8"/>
      <c r="AB23" s="8"/>
      <c r="AC23" s="8"/>
      <c r="AD23" s="9"/>
      <c r="AE23" s="8"/>
      <c r="AF23" s="8"/>
    </row>
    <row r="24" customFormat="false" ht="12.8" hidden="false" customHeight="false" outlineLevel="0" collapsed="false">
      <c r="A24" s="53" t="s">
        <v>53</v>
      </c>
      <c r="B24" s="54" t="s">
        <v>54</v>
      </c>
      <c r="C24" s="70" t="n">
        <f aca="false">35000*7</f>
        <v>245000</v>
      </c>
      <c r="D24" s="70" t="n">
        <f aca="false">26*7</f>
        <v>182</v>
      </c>
      <c r="E24" s="70" t="n">
        <f aca="false">D24*2.825</f>
        <v>514.15</v>
      </c>
      <c r="F24" s="72" t="n">
        <f aca="false">6*80*0.7</f>
        <v>336</v>
      </c>
      <c r="G24" s="55" t="n">
        <v>30</v>
      </c>
      <c r="H24" s="59"/>
      <c r="I24" s="57" t="n">
        <f aca="false">C24/G24/F24</f>
        <v>24.3055555555556</v>
      </c>
      <c r="J24" s="58"/>
      <c r="K24" s="56" t="n">
        <v>1000</v>
      </c>
      <c r="L24" s="59"/>
      <c r="M24" s="69" t="n">
        <f aca="false">5461+15221</f>
        <v>20682</v>
      </c>
      <c r="N24" s="60"/>
      <c r="O24" s="58" t="n">
        <f aca="false">C24*K24/G24/M24/1000</f>
        <v>0.394868323501918</v>
      </c>
      <c r="P24" s="61"/>
      <c r="R24" s="6"/>
      <c r="S24" s="6"/>
      <c r="T24" s="6"/>
      <c r="U24" s="6"/>
      <c r="V24" s="6"/>
      <c r="W24" s="6"/>
      <c r="X24" s="6"/>
      <c r="Y24" s="6"/>
      <c r="Z24" s="8"/>
      <c r="AA24" s="8"/>
      <c r="AB24" s="8"/>
      <c r="AC24" s="8"/>
      <c r="AD24" s="9"/>
      <c r="AE24" s="8"/>
      <c r="AF24" s="8"/>
    </row>
    <row r="25" customFormat="false" ht="12.8" hidden="false" customHeight="false" outlineLevel="0" collapsed="false">
      <c r="A25" s="62" t="s">
        <v>55</v>
      </c>
      <c r="B25" s="54" t="s">
        <v>56</v>
      </c>
      <c r="C25" s="70" t="n">
        <v>390000</v>
      </c>
      <c r="D25" s="70" t="n">
        <v>200.19</v>
      </c>
      <c r="E25" s="70" t="n">
        <f aca="false">D25*2.904</f>
        <v>581.35176</v>
      </c>
      <c r="F25" s="72" t="n">
        <f aca="false">550*0.7</f>
        <v>385</v>
      </c>
      <c r="G25" s="55" t="n">
        <v>30</v>
      </c>
      <c r="H25" s="59"/>
      <c r="I25" s="57" t="n">
        <f aca="false">C25/G25/F25</f>
        <v>33.7662337662338</v>
      </c>
      <c r="J25" s="58"/>
      <c r="K25" s="70" t="n">
        <v>382</v>
      </c>
      <c r="L25" s="59"/>
      <c r="M25" s="69" t="n">
        <v>61890</v>
      </c>
      <c r="N25" s="60"/>
      <c r="O25" s="63" t="n">
        <f aca="false">C25*K25/G25/M25/1000</f>
        <v>0.0802391339473259</v>
      </c>
      <c r="P25" s="65" t="n">
        <v>0.1</v>
      </c>
      <c r="R25" s="6"/>
      <c r="S25" s="6"/>
      <c r="T25" s="6"/>
      <c r="U25" s="6"/>
      <c r="V25" s="6"/>
      <c r="W25" s="6"/>
      <c r="X25" s="6"/>
      <c r="Y25" s="6"/>
      <c r="Z25" s="8"/>
      <c r="AA25" s="8"/>
      <c r="AB25" s="8"/>
      <c r="AC25" s="8"/>
      <c r="AD25" s="9"/>
      <c r="AE25" s="8"/>
      <c r="AF25" s="8"/>
    </row>
    <row r="26" customFormat="false" ht="12.8" hidden="false" customHeight="false" outlineLevel="0" collapsed="false">
      <c r="A26" s="73" t="s">
        <v>57</v>
      </c>
      <c r="B26" s="74" t="s">
        <v>13</v>
      </c>
      <c r="C26" s="75" t="n">
        <v>37230</v>
      </c>
      <c r="D26" s="75" t="n">
        <f aca="false">37.57</f>
        <v>37.57</v>
      </c>
      <c r="E26" s="75" t="n">
        <f aca="false">D26*35.8</f>
        <v>1345.006</v>
      </c>
      <c r="F26" s="76" t="n">
        <f aca="false">200*0.8</f>
        <v>160</v>
      </c>
      <c r="G26" s="77" t="n">
        <v>25</v>
      </c>
      <c r="H26" s="78" t="n">
        <v>50000000</v>
      </c>
      <c r="I26" s="79" t="n">
        <f aca="false">C26/G26/F26</f>
        <v>9.3075</v>
      </c>
      <c r="J26" s="80" t="n">
        <f aca="false">C26/F26/H26*1000</f>
        <v>0.00465375</v>
      </c>
      <c r="K26" s="81" t="n">
        <v>25000</v>
      </c>
      <c r="L26" s="82"/>
      <c r="M26" s="81" t="n">
        <v>9000000</v>
      </c>
      <c r="N26" s="83"/>
      <c r="O26" s="80" t="n">
        <f aca="false">C26*K26/G26/M26/1000</f>
        <v>0.00413666666666667</v>
      </c>
      <c r="P26" s="84" t="n">
        <v>0.005</v>
      </c>
      <c r="R26" s="6"/>
      <c r="S26" s="6"/>
      <c r="T26" s="6"/>
      <c r="U26" s="6"/>
      <c r="V26" s="6"/>
      <c r="W26" s="6"/>
      <c r="X26" s="6"/>
      <c r="Y26" s="6"/>
      <c r="Z26" s="8"/>
      <c r="AA26" s="8"/>
      <c r="AB26" s="8"/>
      <c r="AC26" s="8"/>
      <c r="AD26" s="9"/>
      <c r="AE26" s="8"/>
      <c r="AF26" s="8"/>
    </row>
    <row r="27" customFormat="false" ht="12.8" hidden="false" customHeight="false" outlineLevel="0" collapsed="false">
      <c r="A27" s="2"/>
      <c r="O27" s="59"/>
      <c r="P27" s="59"/>
      <c r="R27" s="6"/>
      <c r="S27" s="6"/>
      <c r="T27" s="6"/>
      <c r="U27" s="6"/>
      <c r="V27" s="6"/>
      <c r="W27" s="6"/>
      <c r="X27" s="6"/>
      <c r="Y27" s="6"/>
      <c r="Z27" s="8"/>
      <c r="AA27" s="8"/>
      <c r="AB27" s="8"/>
      <c r="AC27" s="8"/>
      <c r="AD27" s="9"/>
      <c r="AE27" s="8"/>
      <c r="AF27" s="8"/>
    </row>
    <row r="28" customFormat="false" ht="12.8" hidden="false" customHeight="false" outlineLevel="0" collapsed="false">
      <c r="A28" s="2"/>
      <c r="O28" s="59"/>
      <c r="P28" s="59"/>
      <c r="R28" s="6"/>
      <c r="S28" s="6"/>
      <c r="T28" s="6"/>
      <c r="U28" s="6"/>
      <c r="V28" s="6"/>
      <c r="W28" s="6"/>
      <c r="X28" s="6"/>
      <c r="Y28" s="6"/>
      <c r="Z28" s="8"/>
      <c r="AA28" s="8"/>
      <c r="AB28" s="8"/>
      <c r="AC28" s="8"/>
      <c r="AD28" s="9"/>
      <c r="AE28" s="8"/>
      <c r="AF28" s="8"/>
    </row>
    <row r="29" customFormat="false" ht="12.8" hidden="false" customHeight="false" outlineLevel="0" collapsed="false">
      <c r="A29" s="32" t="s">
        <v>58</v>
      </c>
      <c r="B29" s="33"/>
      <c r="C29" s="34"/>
      <c r="D29" s="34"/>
      <c r="E29" s="34"/>
      <c r="F29" s="34"/>
      <c r="G29" s="34"/>
      <c r="H29" s="34"/>
      <c r="I29" s="85"/>
      <c r="J29" s="85"/>
      <c r="K29" s="85"/>
      <c r="L29" s="85"/>
      <c r="M29" s="85"/>
      <c r="N29" s="85"/>
      <c r="O29" s="85"/>
      <c r="P29" s="86"/>
      <c r="R29" s="6"/>
      <c r="S29" s="6"/>
      <c r="T29" s="6"/>
      <c r="U29" s="6"/>
      <c r="V29" s="6"/>
      <c r="W29" s="6"/>
      <c r="X29" s="6"/>
      <c r="Y29" s="6"/>
      <c r="Z29" s="8"/>
      <c r="AA29" s="8"/>
      <c r="AB29" s="8"/>
      <c r="AC29" s="8"/>
      <c r="AD29" s="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</row>
    <row r="30" customFormat="false" ht="12.8" hidden="false" customHeight="false" outlineLevel="0" collapsed="false">
      <c r="B30" s="1"/>
      <c r="C30" s="87" t="s">
        <v>59</v>
      </c>
      <c r="D30" s="88" t="s">
        <v>60</v>
      </c>
      <c r="E30" s="88" t="s">
        <v>61</v>
      </c>
      <c r="F30" s="88" t="s">
        <v>62</v>
      </c>
      <c r="G30" s="88" t="s">
        <v>63</v>
      </c>
      <c r="H30" s="88" t="s">
        <v>23</v>
      </c>
      <c r="I30" s="88" t="s">
        <v>64</v>
      </c>
      <c r="J30" s="89" t="s">
        <v>65</v>
      </c>
      <c r="K30" s="90"/>
      <c r="R30" s="6"/>
      <c r="S30" s="6"/>
      <c r="T30" s="6"/>
      <c r="U30" s="6"/>
      <c r="V30" s="6"/>
      <c r="W30" s="6"/>
      <c r="X30" s="6"/>
      <c r="Y30" s="6"/>
      <c r="Z30" s="8"/>
      <c r="AA30" s="8"/>
      <c r="AB30" s="8"/>
      <c r="AC30" s="8"/>
      <c r="AD30" s="9"/>
      <c r="AE30" s="8"/>
      <c r="AF30" s="8"/>
    </row>
    <row r="31" customFormat="false" ht="12.8" hidden="false" customHeight="false" outlineLevel="0" collapsed="false">
      <c r="B31" s="1"/>
      <c r="C31" s="91" t="s">
        <v>32</v>
      </c>
      <c r="D31" s="2" t="s">
        <v>32</v>
      </c>
      <c r="E31" s="2" t="s">
        <v>32</v>
      </c>
      <c r="F31" s="2" t="s">
        <v>32</v>
      </c>
      <c r="G31" s="2" t="s">
        <v>32</v>
      </c>
      <c r="H31" s="2" t="s">
        <v>32</v>
      </c>
      <c r="I31" s="2" t="s">
        <v>32</v>
      </c>
      <c r="J31" s="92" t="s">
        <v>66</v>
      </c>
      <c r="R31" s="6"/>
      <c r="S31" s="6"/>
      <c r="T31" s="6"/>
      <c r="U31" s="6"/>
      <c r="V31" s="6"/>
      <c r="W31" s="6"/>
      <c r="X31" s="6"/>
      <c r="Y31" s="6"/>
      <c r="Z31" s="8"/>
      <c r="AA31" s="8"/>
      <c r="AB31" s="8"/>
      <c r="AC31" s="8"/>
      <c r="AD31" s="9"/>
      <c r="AE31" s="8"/>
      <c r="AF31" s="8"/>
    </row>
    <row r="32" customFormat="false" ht="12.8" hidden="false" customHeight="false" outlineLevel="0" collapsed="false">
      <c r="A32" s="22"/>
      <c r="B32" s="93" t="s">
        <v>67</v>
      </c>
      <c r="C32" s="94" t="n">
        <v>2</v>
      </c>
      <c r="D32" s="95" t="n">
        <v>5</v>
      </c>
      <c r="E32" s="95" t="n">
        <v>50</v>
      </c>
      <c r="F32" s="95" t="n">
        <v>10</v>
      </c>
      <c r="G32" s="95" t="n">
        <v>1</v>
      </c>
      <c r="H32" s="96"/>
      <c r="I32" s="95"/>
      <c r="J32" s="97"/>
      <c r="K32" s="98" t="s">
        <v>68</v>
      </c>
      <c r="R32" s="6"/>
      <c r="S32" s="6"/>
      <c r="T32" s="6"/>
      <c r="U32" s="6"/>
      <c r="V32" s="6"/>
      <c r="W32" s="6"/>
      <c r="X32" s="6"/>
      <c r="Y32" s="6"/>
      <c r="Z32" s="8"/>
      <c r="AA32" s="8"/>
      <c r="AB32" s="8"/>
      <c r="AC32" s="8"/>
      <c r="AD32" s="9"/>
      <c r="AE32" s="8"/>
      <c r="AF32" s="8"/>
    </row>
    <row r="33" customFormat="false" ht="12.8" hidden="false" customHeight="false" outlineLevel="0" collapsed="false">
      <c r="A33" s="99" t="s">
        <v>43</v>
      </c>
      <c r="B33" s="100" t="s">
        <v>69</v>
      </c>
      <c r="C33" s="101" t="n">
        <v>0</v>
      </c>
      <c r="D33" s="101" t="n">
        <v>0</v>
      </c>
      <c r="E33" s="101" t="n">
        <v>0</v>
      </c>
      <c r="F33" s="101" t="n">
        <v>0</v>
      </c>
      <c r="G33" s="101" t="n">
        <v>0.6</v>
      </c>
      <c r="H33" s="102" t="n">
        <f aca="false">SUM(C33:G33)</f>
        <v>0.6</v>
      </c>
      <c r="I33" s="102" t="n">
        <f aca="false">SUMPRODUCT(C$32:G$32,C33:G33)</f>
        <v>0.6</v>
      </c>
      <c r="J33" s="103" t="n">
        <f aca="false">I33/H33</f>
        <v>1</v>
      </c>
      <c r="K33" s="104"/>
      <c r="L33" s="104"/>
      <c r="M33" s="104"/>
      <c r="N33" s="104"/>
      <c r="O33" s="4"/>
      <c r="P33" s="4"/>
      <c r="R33" s="6"/>
      <c r="S33" s="6"/>
      <c r="T33" s="6"/>
      <c r="U33" s="6"/>
      <c r="V33" s="6"/>
      <c r="W33" s="6"/>
      <c r="X33" s="6"/>
      <c r="Y33" s="6"/>
      <c r="Z33" s="8"/>
      <c r="AA33" s="8"/>
      <c r="AB33" s="8"/>
      <c r="AC33" s="8"/>
      <c r="AD33" s="9"/>
      <c r="AE33" s="8"/>
      <c r="AF33" s="8"/>
    </row>
    <row r="34" customFormat="false" ht="12.8" hidden="false" customHeight="false" outlineLevel="0" collapsed="false">
      <c r="A34" s="53" t="s">
        <v>45</v>
      </c>
      <c r="B34" s="54" t="s">
        <v>46</v>
      </c>
      <c r="C34" s="55" t="n">
        <v>14</v>
      </c>
      <c r="D34" s="55" t="n">
        <v>0</v>
      </c>
      <c r="E34" s="55" t="n">
        <v>0</v>
      </c>
      <c r="F34" s="55" t="n">
        <v>0</v>
      </c>
      <c r="G34" s="55" t="n">
        <v>1</v>
      </c>
      <c r="H34" s="59" t="n">
        <f aca="false">SUM(C34:G34)</f>
        <v>15</v>
      </c>
      <c r="I34" s="59" t="n">
        <f aca="false">SUMPRODUCT(C$32:G$32,C34:G34)</f>
        <v>29</v>
      </c>
      <c r="J34" s="105" t="n">
        <f aca="false">I34/H34</f>
        <v>1.93333333333333</v>
      </c>
      <c r="K34" s="104"/>
      <c r="L34" s="104"/>
      <c r="M34" s="104"/>
      <c r="N34" s="104"/>
      <c r="O34" s="4"/>
      <c r="P34" s="4"/>
      <c r="R34" s="6"/>
      <c r="S34" s="6"/>
      <c r="T34" s="6"/>
      <c r="U34" s="6"/>
      <c r="V34" s="6"/>
      <c r="W34" s="6"/>
      <c r="X34" s="6"/>
      <c r="Y34" s="6"/>
      <c r="Z34" s="8"/>
      <c r="AA34" s="8"/>
      <c r="AB34" s="8"/>
      <c r="AC34" s="8"/>
      <c r="AD34" s="9"/>
      <c r="AE34" s="8"/>
      <c r="AF34" s="8"/>
    </row>
    <row r="35" customFormat="false" ht="12.8" hidden="false" customHeight="false" outlineLevel="0" collapsed="false">
      <c r="A35" s="53" t="s">
        <v>70</v>
      </c>
      <c r="B35" s="106"/>
      <c r="H35" s="59" t="n">
        <f aca="false">SUM(C35:G35)</f>
        <v>0</v>
      </c>
      <c r="I35" s="59" t="n">
        <f aca="false">SUMPRODUCT(C$32:G$32,C35:G35)</f>
        <v>0</v>
      </c>
      <c r="J35" s="107" t="n">
        <v>2.5</v>
      </c>
      <c r="K35" s="104"/>
      <c r="L35" s="104"/>
      <c r="M35" s="104"/>
      <c r="N35" s="104"/>
      <c r="O35" s="4"/>
      <c r="P35" s="4"/>
      <c r="R35" s="6"/>
      <c r="S35" s="6"/>
      <c r="T35" s="6"/>
      <c r="U35" s="6"/>
      <c r="V35" s="6"/>
      <c r="W35" s="6"/>
      <c r="X35" s="6"/>
      <c r="Y35" s="6"/>
      <c r="Z35" s="8"/>
      <c r="AA35" s="8"/>
      <c r="AB35" s="8"/>
      <c r="AC35" s="8"/>
      <c r="AD35" s="9"/>
      <c r="AE35" s="8"/>
      <c r="AF35" s="8"/>
    </row>
    <row r="36" customFormat="false" ht="12.8" hidden="false" customHeight="false" outlineLevel="0" collapsed="false">
      <c r="A36" s="53" t="s">
        <v>71</v>
      </c>
      <c r="B36" s="106"/>
      <c r="H36" s="59" t="n">
        <f aca="false">SUM(C36:G36)</f>
        <v>0</v>
      </c>
      <c r="I36" s="59" t="n">
        <f aca="false">SUMPRODUCT(C$32:G$32,C36:G36)</f>
        <v>0</v>
      </c>
      <c r="J36" s="107" t="n">
        <v>2.5</v>
      </c>
      <c r="K36" s="104"/>
      <c r="L36" s="104"/>
      <c r="M36" s="104"/>
      <c r="N36" s="104"/>
      <c r="O36" s="4"/>
      <c r="P36" s="4"/>
      <c r="R36" s="6"/>
      <c r="S36" s="6"/>
      <c r="T36" s="6"/>
      <c r="U36" s="6"/>
      <c r="V36" s="6"/>
      <c r="W36" s="6"/>
      <c r="X36" s="6"/>
      <c r="Y36" s="6"/>
      <c r="Z36" s="8"/>
      <c r="AA36" s="8"/>
      <c r="AB36" s="8"/>
      <c r="AC36" s="8"/>
      <c r="AD36" s="9"/>
      <c r="AE36" s="8"/>
      <c r="AF36" s="8"/>
    </row>
    <row r="37" customFormat="false" ht="12.8" hidden="false" customHeight="false" outlineLevel="0" collapsed="false">
      <c r="A37" s="53" t="s">
        <v>72</v>
      </c>
      <c r="B37" s="106"/>
      <c r="H37" s="59" t="n">
        <f aca="false">SUM(C37:G37)</f>
        <v>0</v>
      </c>
      <c r="I37" s="59" t="n">
        <f aca="false">SUMPRODUCT(C$32:G$32,C37:G37)</f>
        <v>0</v>
      </c>
      <c r="J37" s="107" t="n">
        <v>2.5</v>
      </c>
      <c r="K37" s="104"/>
      <c r="L37" s="104"/>
      <c r="M37" s="104"/>
      <c r="N37" s="104"/>
      <c r="O37" s="4"/>
      <c r="P37" s="4"/>
      <c r="R37" s="6"/>
      <c r="S37" s="6"/>
      <c r="T37" s="6"/>
      <c r="U37" s="6"/>
      <c r="V37" s="6"/>
      <c r="W37" s="6"/>
      <c r="X37" s="6"/>
      <c r="Y37" s="6"/>
      <c r="Z37" s="8"/>
      <c r="AA37" s="8"/>
      <c r="AB37" s="8"/>
      <c r="AC37" s="8"/>
      <c r="AD37" s="9"/>
      <c r="AE37" s="8"/>
      <c r="AF37" s="8"/>
    </row>
    <row r="38" customFormat="false" ht="12.8" hidden="false" customHeight="false" outlineLevel="0" collapsed="false">
      <c r="A38" s="53" t="s">
        <v>51</v>
      </c>
      <c r="B38" s="54" t="s">
        <v>73</v>
      </c>
      <c r="C38" s="108" t="n">
        <f aca="false">0.59*$H38</f>
        <v>1057.917672</v>
      </c>
      <c r="D38" s="108" t="n">
        <f aca="false">0.105*$H38</f>
        <v>188.273484</v>
      </c>
      <c r="E38" s="108" t="n">
        <f aca="false">69*0.4536</f>
        <v>31.2984</v>
      </c>
      <c r="F38" s="109" t="n">
        <v>0</v>
      </c>
      <c r="G38" s="108" t="n">
        <f aca="false">H38-SUM(C38:F38)</f>
        <v>515.591244</v>
      </c>
      <c r="H38" s="59" t="n">
        <f aca="false">3953*0.4536</f>
        <v>1793.0808</v>
      </c>
      <c r="I38" s="59" t="n">
        <f aca="false">SUMPRODUCT(C$32:G$32,C38:G38)</f>
        <v>5137.714008</v>
      </c>
      <c r="J38" s="105" t="n">
        <f aca="false">I38/H38</f>
        <v>2.86529977232482</v>
      </c>
      <c r="K38" s="110" t="s">
        <v>74</v>
      </c>
      <c r="L38" s="104"/>
      <c r="M38" s="104"/>
      <c r="N38" s="104"/>
      <c r="O38" s="4"/>
      <c r="P38" s="4"/>
      <c r="R38" s="6"/>
      <c r="S38" s="6"/>
      <c r="T38" s="6"/>
      <c r="U38" s="6"/>
      <c r="V38" s="6"/>
      <c r="W38" s="6"/>
      <c r="X38" s="6"/>
      <c r="Y38" s="6"/>
      <c r="Z38" s="8"/>
      <c r="AA38" s="8"/>
      <c r="AB38" s="8"/>
      <c r="AC38" s="8"/>
      <c r="AD38" s="9"/>
      <c r="AE38" s="8"/>
      <c r="AF38" s="8"/>
    </row>
    <row r="39" customFormat="false" ht="12.8" hidden="false" customHeight="false" outlineLevel="0" collapsed="false">
      <c r="A39" s="53" t="s">
        <v>75</v>
      </c>
      <c r="B39" s="106"/>
      <c r="H39" s="59" t="n">
        <f aca="false">SUM(C39:G39)</f>
        <v>0</v>
      </c>
      <c r="I39" s="59" t="n">
        <f aca="false">SUMPRODUCT(C$32:G$32,C39:G39)</f>
        <v>0</v>
      </c>
      <c r="J39" s="107" t="n">
        <v>2.5</v>
      </c>
      <c r="K39" s="104"/>
      <c r="L39" s="104"/>
      <c r="M39" s="104"/>
      <c r="N39" s="104"/>
      <c r="O39" s="4"/>
      <c r="P39" s="4"/>
      <c r="R39" s="6"/>
      <c r="S39" s="6"/>
      <c r="T39" s="6"/>
      <c r="U39" s="6"/>
      <c r="V39" s="6"/>
      <c r="W39" s="6"/>
      <c r="X39" s="6"/>
      <c r="Y39" s="6"/>
      <c r="Z39" s="8"/>
      <c r="AA39" s="8"/>
      <c r="AB39" s="8"/>
      <c r="AC39" s="8"/>
      <c r="AD39" s="9"/>
      <c r="AE39" s="8"/>
      <c r="AF39" s="8"/>
    </row>
    <row r="40" customFormat="false" ht="12.8" hidden="false" customHeight="false" outlineLevel="0" collapsed="false">
      <c r="A40" s="53" t="s">
        <v>76</v>
      </c>
      <c r="B40" s="106"/>
      <c r="H40" s="59" t="n">
        <f aca="false">SUM(C40:G40)</f>
        <v>0</v>
      </c>
      <c r="I40" s="59" t="n">
        <f aca="false">SUMPRODUCT(C$32:G$32,C40:G40)</f>
        <v>0</v>
      </c>
      <c r="J40" s="107" t="n">
        <v>1</v>
      </c>
      <c r="K40" s="104"/>
      <c r="L40" s="104"/>
      <c r="M40" s="104"/>
      <c r="N40" s="104"/>
      <c r="O40" s="4"/>
      <c r="P40" s="4"/>
      <c r="R40" s="6"/>
      <c r="S40" s="6"/>
      <c r="T40" s="6"/>
      <c r="U40" s="6"/>
      <c r="V40" s="6"/>
      <c r="W40" s="6"/>
      <c r="X40" s="6"/>
      <c r="Y40" s="6"/>
      <c r="Z40" s="8"/>
      <c r="AA40" s="8"/>
      <c r="AB40" s="8"/>
      <c r="AC40" s="8"/>
      <c r="AD40" s="9"/>
      <c r="AE40" s="8"/>
      <c r="AF40" s="8"/>
    </row>
    <row r="41" customFormat="false" ht="12.8" hidden="false" customHeight="false" outlineLevel="0" collapsed="false">
      <c r="A41" s="53" t="s">
        <v>77</v>
      </c>
      <c r="B41" s="54" t="s">
        <v>56</v>
      </c>
      <c r="C41" s="67" t="n">
        <v>100000</v>
      </c>
      <c r="D41" s="108" t="n">
        <f aca="false">8000*9</f>
        <v>72000</v>
      </c>
      <c r="E41" s="67" t="n">
        <v>10000</v>
      </c>
      <c r="F41" s="67" t="n">
        <v>0</v>
      </c>
      <c r="G41" s="67" t="n">
        <f aca="false">C25-SUM(C41:F41)</f>
        <v>208000</v>
      </c>
      <c r="H41" s="70" t="n">
        <f aca="false">SUM(C41:G41)</f>
        <v>390000</v>
      </c>
      <c r="I41" s="59" t="n">
        <f aca="false">SUMPRODUCT(C$32:G$32,C41:G41)</f>
        <v>1268000</v>
      </c>
      <c r="J41" s="105" t="n">
        <f aca="false">I41/H41</f>
        <v>3.25128205128205</v>
      </c>
      <c r="K41" s="111" t="s">
        <v>78</v>
      </c>
      <c r="L41" s="104"/>
      <c r="M41" s="104"/>
      <c r="N41" s="104"/>
      <c r="O41" s="4"/>
      <c r="P41" s="4"/>
      <c r="R41" s="6"/>
      <c r="S41" s="6"/>
      <c r="T41" s="6"/>
      <c r="U41" s="6"/>
      <c r="V41" s="6"/>
      <c r="W41" s="6"/>
      <c r="X41" s="6"/>
      <c r="Y41" s="6"/>
      <c r="Z41" s="8"/>
      <c r="AA41" s="8"/>
      <c r="AB41" s="8"/>
      <c r="AC41" s="8"/>
      <c r="AD41" s="9"/>
      <c r="AE41" s="8"/>
      <c r="AF41" s="8"/>
    </row>
    <row r="42" customFormat="false" ht="12.8" hidden="false" customHeight="false" outlineLevel="0" collapsed="false">
      <c r="A42" s="112" t="s">
        <v>57</v>
      </c>
      <c r="B42" s="74" t="s">
        <v>13</v>
      </c>
      <c r="C42" s="113" t="n">
        <f aca="false">0.05*C26</f>
        <v>1861.5</v>
      </c>
      <c r="D42" s="113" t="n">
        <f aca="false">0.5*C26</f>
        <v>18615</v>
      </c>
      <c r="E42" s="113" t="n">
        <f aca="false">0.01*C26</f>
        <v>372.3</v>
      </c>
      <c r="F42" s="113" t="n">
        <f aca="false">0.1*C26</f>
        <v>3723</v>
      </c>
      <c r="G42" s="113" t="n">
        <f aca="false">C26-SUM(C42:F42)</f>
        <v>12658.2</v>
      </c>
      <c r="H42" s="75" t="n">
        <f aca="false">SUM(C42:G42)</f>
        <v>37230</v>
      </c>
      <c r="I42" s="82" t="n">
        <f aca="false">SUMPRODUCT(C$32:G$32,C42:G42)</f>
        <v>165301.2</v>
      </c>
      <c r="J42" s="114" t="n">
        <f aca="false">I42/H42</f>
        <v>4.44</v>
      </c>
      <c r="K42" s="104"/>
      <c r="L42" s="104"/>
      <c r="M42" s="104"/>
      <c r="N42" s="104"/>
      <c r="O42" s="4"/>
      <c r="P42" s="4"/>
      <c r="R42" s="6"/>
      <c r="S42" s="6"/>
      <c r="T42" s="6"/>
      <c r="U42" s="6"/>
      <c r="V42" s="6"/>
      <c r="W42" s="6"/>
      <c r="X42" s="6"/>
      <c r="Y42" s="6"/>
      <c r="Z42" s="8"/>
      <c r="AA42" s="8"/>
      <c r="AB42" s="8"/>
      <c r="AC42" s="8"/>
      <c r="AD42" s="9"/>
      <c r="AE42" s="8"/>
      <c r="AF42" s="8"/>
    </row>
    <row r="43" customFormat="false" ht="12.8" hidden="false" customHeight="false" outlineLevel="0" collapsed="false">
      <c r="H43" s="59"/>
      <c r="O43" s="4"/>
      <c r="P43" s="4"/>
      <c r="R43" s="6"/>
      <c r="S43" s="6"/>
      <c r="T43" s="6"/>
      <c r="U43" s="6"/>
      <c r="V43" s="6"/>
      <c r="W43" s="6"/>
      <c r="X43" s="6"/>
      <c r="Y43" s="6"/>
      <c r="Z43" s="8"/>
      <c r="AA43" s="8"/>
      <c r="AB43" s="8"/>
      <c r="AC43" s="8"/>
      <c r="AD43" s="9"/>
      <c r="AE43" s="8"/>
      <c r="AF43" s="8"/>
    </row>
    <row r="44" customFormat="false" ht="12.8" hidden="false" customHeight="false" outlineLevel="0" collapsed="false">
      <c r="H44" s="59"/>
      <c r="O44" s="4"/>
      <c r="P44" s="4"/>
      <c r="R44" s="6"/>
      <c r="S44" s="6"/>
      <c r="T44" s="6"/>
      <c r="U44" s="6"/>
      <c r="V44" s="6"/>
      <c r="W44" s="6"/>
      <c r="X44" s="6"/>
      <c r="Y44" s="6"/>
      <c r="Z44" s="8"/>
      <c r="AA44" s="8"/>
      <c r="AB44" s="8"/>
      <c r="AC44" s="8"/>
      <c r="AD44" s="9"/>
      <c r="AE44" s="8"/>
      <c r="AF44" s="8"/>
    </row>
    <row r="45" customFormat="false" ht="12.8" hidden="false" customHeight="false" outlineLevel="0" collapsed="false">
      <c r="A45" s="32" t="s">
        <v>79</v>
      </c>
      <c r="B45" s="33"/>
      <c r="C45" s="34"/>
      <c r="D45" s="34"/>
      <c r="E45" s="34"/>
      <c r="F45" s="34"/>
      <c r="G45" s="34"/>
      <c r="H45" s="6"/>
      <c r="I45" s="6"/>
      <c r="J45" s="8"/>
      <c r="K45" s="8"/>
      <c r="L45" s="8"/>
      <c r="M45" s="8"/>
      <c r="N45" s="9"/>
      <c r="O45" s="8"/>
      <c r="P45" s="8"/>
      <c r="Q45" s="24"/>
      <c r="R45" s="0"/>
      <c r="S45" s="0"/>
      <c r="T45" s="0"/>
      <c r="U45" s="0"/>
      <c r="AD45" s="0"/>
    </row>
    <row r="46" customFormat="false" ht="12.8" hidden="false" customHeight="false" outlineLevel="0" collapsed="false">
      <c r="A46" s="6"/>
      <c r="B46" s="115"/>
      <c r="C46" s="3"/>
      <c r="D46" s="3"/>
      <c r="E46" s="3"/>
      <c r="F46" s="3"/>
      <c r="G46" s="116" t="s">
        <v>80</v>
      </c>
      <c r="H46" s="116"/>
      <c r="I46" s="3"/>
      <c r="J46" s="3"/>
      <c r="K46" s="3"/>
      <c r="L46" s="3"/>
      <c r="M46" s="22"/>
      <c r="N46" s="23"/>
      <c r="O46" s="22"/>
      <c r="P46" s="22"/>
      <c r="Q46" s="24"/>
      <c r="R46" s="0"/>
      <c r="S46" s="0"/>
      <c r="T46" s="0"/>
      <c r="U46" s="0"/>
      <c r="AD46" s="0"/>
    </row>
    <row r="47" customFormat="false" ht="12.8" hidden="false" customHeight="false" outlineLevel="0" collapsed="false">
      <c r="A47" s="42" t="s">
        <v>21</v>
      </c>
      <c r="B47" s="43" t="s">
        <v>22</v>
      </c>
      <c r="C47" s="44" t="s">
        <v>24</v>
      </c>
      <c r="D47" s="44" t="s">
        <v>81</v>
      </c>
      <c r="E47" s="44" t="s">
        <v>25</v>
      </c>
      <c r="F47" s="44" t="s">
        <v>82</v>
      </c>
      <c r="G47" s="44" t="s">
        <v>83</v>
      </c>
      <c r="H47" s="44" t="s">
        <v>84</v>
      </c>
      <c r="I47" s="45" t="s">
        <v>85</v>
      </c>
      <c r="J47" s="45"/>
      <c r="K47" s="45"/>
      <c r="L47" s="44" t="s">
        <v>23</v>
      </c>
      <c r="M47" s="117" t="s">
        <v>29</v>
      </c>
      <c r="N47" s="117"/>
      <c r="O47" s="118" t="s">
        <v>86</v>
      </c>
      <c r="P47" s="118"/>
      <c r="Q47" s="119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  <c r="ALK47" s="41"/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  <c r="ALV47" s="41"/>
      <c r="ALW47" s="41"/>
      <c r="ALX47" s="41"/>
      <c r="ALY47" s="41"/>
      <c r="ALZ47" s="41"/>
      <c r="AMA47" s="41"/>
      <c r="AMB47" s="41"/>
      <c r="AMC47" s="41"/>
      <c r="AMD47" s="41"/>
      <c r="AME47" s="41"/>
      <c r="AMF47" s="41"/>
      <c r="AMG47" s="41"/>
      <c r="AMH47" s="41"/>
      <c r="AMI47" s="41"/>
      <c r="AMJ47" s="41"/>
      <c r="AMK47" s="41"/>
      <c r="AML47" s="41"/>
      <c r="AMM47" s="41"/>
      <c r="AMN47" s="41"/>
    </row>
    <row r="48" s="41" customFormat="true" ht="12.8" hidden="false" customHeight="false" outlineLevel="0" collapsed="false">
      <c r="A48" s="42"/>
      <c r="B48" s="43"/>
      <c r="C48" s="49" t="s">
        <v>37</v>
      </c>
      <c r="D48" s="49" t="s">
        <v>87</v>
      </c>
      <c r="E48" s="49" t="s">
        <v>88</v>
      </c>
      <c r="F48" s="49" t="s">
        <v>36</v>
      </c>
      <c r="G48" s="49" t="s">
        <v>89</v>
      </c>
      <c r="H48" s="49" t="s">
        <v>89</v>
      </c>
      <c r="I48" s="49" t="s">
        <v>90</v>
      </c>
      <c r="J48" s="49" t="s">
        <v>91</v>
      </c>
      <c r="K48" s="49" t="s">
        <v>92</v>
      </c>
      <c r="L48" s="49" t="s">
        <v>93</v>
      </c>
      <c r="M48" s="120" t="s">
        <v>39</v>
      </c>
      <c r="N48" s="120"/>
      <c r="O48" s="118" t="s">
        <v>94</v>
      </c>
      <c r="P48" s="118"/>
      <c r="Q48" s="119"/>
    </row>
    <row r="49" s="41" customFormat="true" ht="12.8" hidden="false" customHeight="false" outlineLevel="0" collapsed="false">
      <c r="A49" s="53" t="s">
        <v>43</v>
      </c>
      <c r="B49" s="54" t="s">
        <v>95</v>
      </c>
      <c r="C49" s="59" t="n">
        <v>0</v>
      </c>
      <c r="D49" s="59"/>
      <c r="E49" s="59"/>
      <c r="F49" s="59"/>
      <c r="G49" s="59"/>
      <c r="H49" s="2"/>
      <c r="I49" s="2"/>
      <c r="J49" s="2"/>
      <c r="K49" s="2"/>
      <c r="L49" s="2"/>
      <c r="M49" s="91" t="n">
        <v>0</v>
      </c>
      <c r="N49" s="121"/>
      <c r="O49" s="0"/>
      <c r="P49" s="0"/>
      <c r="Q49" s="24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  <c r="AMK49" s="0"/>
      <c r="AML49" s="0"/>
      <c r="AMM49" s="0"/>
      <c r="AMN49" s="0"/>
    </row>
    <row r="50" customFormat="false" ht="12.8" hidden="false" customHeight="false" outlineLevel="0" collapsed="false">
      <c r="A50" s="62" t="s">
        <v>45</v>
      </c>
      <c r="B50" s="54" t="s">
        <v>96</v>
      </c>
      <c r="C50" s="69" t="n">
        <v>17515</v>
      </c>
      <c r="D50" s="67" t="n">
        <v>1</v>
      </c>
      <c r="E50" s="59" t="n">
        <f aca="false">C50*D50/1000</f>
        <v>17.515</v>
      </c>
      <c r="F50" s="56" t="n">
        <v>60</v>
      </c>
      <c r="G50" s="122" t="n">
        <f aca="false">D18*K18/C50/1000</f>
        <v>0.568655438195832</v>
      </c>
      <c r="H50" s="123" t="n">
        <f aca="false">E18*K18/E50/1000000</f>
        <v>0.315919687886573</v>
      </c>
      <c r="I50" s="104" t="n">
        <f aca="false">E50*1000000/K18</f>
        <v>3.16536144578313</v>
      </c>
      <c r="J50" s="59" t="n">
        <f aca="false">E50*1000000/K18/F18</f>
        <v>3.16536144578313</v>
      </c>
      <c r="K50" s="124" t="n">
        <f aca="false">E50/M18*10000/F50</f>
        <v>0.603146070511099</v>
      </c>
      <c r="L50" s="56" t="n">
        <v>500</v>
      </c>
      <c r="M50" s="125" t="n">
        <f aca="false">K50*L50*1000/10000</f>
        <v>30.1573035255549</v>
      </c>
      <c r="N50" s="126" t="n">
        <v>30</v>
      </c>
      <c r="O50" s="127" t="s">
        <v>97</v>
      </c>
      <c r="P50" s="127"/>
      <c r="Q50" s="24"/>
      <c r="R50" s="0"/>
      <c r="S50" s="0"/>
      <c r="T50" s="0"/>
      <c r="U50" s="0"/>
      <c r="AD50" s="0"/>
    </row>
    <row r="51" customFormat="false" ht="12.8" hidden="false" customHeight="false" outlineLevel="0" collapsed="false">
      <c r="A51" s="53" t="s">
        <v>47</v>
      </c>
      <c r="B51" s="54" t="s">
        <v>98</v>
      </c>
      <c r="C51" s="56" t="n">
        <f aca="false">0.2*25000</f>
        <v>5000</v>
      </c>
      <c r="D51" s="67" t="n">
        <v>5</v>
      </c>
      <c r="E51" s="128" t="n">
        <f aca="false">C51*D51/1000</f>
        <v>25</v>
      </c>
      <c r="F51" s="67" t="n">
        <f aca="false">F$50</f>
        <v>60</v>
      </c>
      <c r="G51" s="123" t="n">
        <f aca="false">D19*K19/C51/1000</f>
        <v>0.0259426091623538</v>
      </c>
      <c r="H51" s="123" t="n">
        <f aca="false">E19*K19/E51/1000000</f>
        <v>0.0124524523979298</v>
      </c>
      <c r="I51" s="59" t="n">
        <f aca="false">E51*1000000/K19</f>
        <v>2544.07718155716</v>
      </c>
      <c r="J51" s="59" t="n">
        <f aca="false">E51*1000000/K19/F19</f>
        <v>231.279743777923</v>
      </c>
      <c r="K51" s="124" t="n">
        <f aca="false">E51/M19*10000/F51</f>
        <v>0.712007290954659</v>
      </c>
      <c r="L51" s="56" t="n">
        <v>1000</v>
      </c>
      <c r="M51" s="129" t="n">
        <f aca="false">K51*L51*1000/10000</f>
        <v>71.200729095466</v>
      </c>
      <c r="N51" s="121"/>
      <c r="O51" s="127" t="s">
        <v>99</v>
      </c>
      <c r="P51" s="127"/>
      <c r="Q51" s="24"/>
      <c r="R51" s="0"/>
      <c r="S51" s="0"/>
      <c r="T51" s="0"/>
      <c r="U51" s="0"/>
      <c r="AD51" s="0"/>
    </row>
    <row r="52" customFormat="false" ht="12.8" hidden="false" customHeight="false" outlineLevel="0" collapsed="false">
      <c r="A52" s="53" t="s">
        <v>8</v>
      </c>
      <c r="B52" s="54" t="s">
        <v>8</v>
      </c>
      <c r="C52" s="69" t="n">
        <v>116</v>
      </c>
      <c r="D52" s="67" t="n">
        <v>6</v>
      </c>
      <c r="E52" s="128" t="n">
        <f aca="false">C52*D52/1000</f>
        <v>0.696</v>
      </c>
      <c r="F52" s="67" t="n">
        <f aca="false">F$50</f>
        <v>60</v>
      </c>
      <c r="G52" s="123" t="n">
        <f aca="false">D20*K20/C52/1000</f>
        <v>0.101034482758621</v>
      </c>
      <c r="H52" s="123" t="n">
        <f aca="false">E20*K20/E52/1000000</f>
        <v>0.0420977011494253</v>
      </c>
      <c r="I52" s="59" t="n">
        <f aca="false">E52*1000000/K20</f>
        <v>2375.42662116041</v>
      </c>
      <c r="J52" s="59" t="n">
        <f aca="false">E52*1000000/K20/F20</f>
        <v>11.729922577455</v>
      </c>
      <c r="K52" s="124" t="n">
        <f aca="false">E52/M20*10000/F52</f>
        <v>0.11439842209073</v>
      </c>
      <c r="L52" s="56" t="n">
        <v>1000</v>
      </c>
      <c r="M52" s="129" t="n">
        <f aca="false">K52*L52*1000/10000</f>
        <v>11.439842209073</v>
      </c>
      <c r="N52" s="121"/>
      <c r="O52" s="127" t="s">
        <v>99</v>
      </c>
      <c r="P52" s="127"/>
      <c r="Q52" s="24"/>
      <c r="R52" s="0"/>
      <c r="S52" s="0"/>
      <c r="T52" s="0"/>
      <c r="U52" s="0"/>
      <c r="AD52" s="0"/>
    </row>
    <row r="53" customFormat="false" ht="12.8" hidden="false" customHeight="false" outlineLevel="0" collapsed="false">
      <c r="A53" s="53" t="s">
        <v>50</v>
      </c>
      <c r="B53" s="54" t="s">
        <v>50</v>
      </c>
      <c r="C53" s="69" t="n">
        <v>206</v>
      </c>
      <c r="D53" s="67" t="n">
        <v>8</v>
      </c>
      <c r="E53" s="128" t="n">
        <f aca="false">C53*D53/1000</f>
        <v>1.648</v>
      </c>
      <c r="F53" s="67" t="n">
        <f aca="false">F$50</f>
        <v>60</v>
      </c>
      <c r="G53" s="123" t="n">
        <f aca="false">D21*K21/C53/1000</f>
        <v>0.279223300970874</v>
      </c>
      <c r="H53" s="123" t="n">
        <f aca="false">E21*K21/E53/1000000</f>
        <v>0.0977281553398058</v>
      </c>
      <c r="I53" s="59" t="n">
        <f aca="false">E53*1000000/K21</f>
        <v>2292.07232267038</v>
      </c>
      <c r="J53" s="59" t="n">
        <f aca="false">E53*1000000/K21/F21</f>
        <v>3.56620662601191</v>
      </c>
      <c r="K53" s="124" t="n">
        <f aca="false">E53/M21*10000/F53</f>
        <v>0.03520013669956</v>
      </c>
      <c r="L53" s="56" t="n">
        <f aca="false">L54</f>
        <v>1500</v>
      </c>
      <c r="M53" s="129" t="n">
        <f aca="false">K53*L53*1000/10000</f>
        <v>5.280020504934</v>
      </c>
      <c r="N53" s="121"/>
      <c r="O53" s="127" t="s">
        <v>100</v>
      </c>
      <c r="P53" s="127"/>
      <c r="Q53" s="24"/>
      <c r="R53" s="0"/>
      <c r="S53" s="0"/>
      <c r="T53" s="0"/>
      <c r="U53" s="0"/>
      <c r="AD53" s="0"/>
    </row>
    <row r="54" customFormat="false" ht="12.8" hidden="false" customHeight="false" outlineLevel="0" collapsed="false">
      <c r="A54" s="62" t="s">
        <v>51</v>
      </c>
      <c r="B54" s="54" t="s">
        <v>101</v>
      </c>
      <c r="C54" s="69" t="n">
        <v>1104093</v>
      </c>
      <c r="D54" s="67" t="n">
        <v>10</v>
      </c>
      <c r="E54" s="59" t="n">
        <f aca="false">C54*D54/1000</f>
        <v>11040.93</v>
      </c>
      <c r="F54" s="56" t="n">
        <v>80</v>
      </c>
      <c r="G54" s="122" t="n">
        <f aca="false">D22*K22/C54/1000</f>
        <v>0.146935448372556</v>
      </c>
      <c r="H54" s="123" t="n">
        <f aca="false">E22*K22/E54/1000000</f>
        <v>0.02644838070706</v>
      </c>
      <c r="I54" s="59" t="n">
        <f aca="false">E54*1000000/K22</f>
        <v>292.645515267176</v>
      </c>
      <c r="J54" s="59" t="n">
        <f aca="false">E54*1000000/K22/F22</f>
        <v>182.903447041985</v>
      </c>
      <c r="K54" s="124" t="n">
        <f aca="false">E54/M22*10000/F54</f>
        <v>1.94766617273497</v>
      </c>
      <c r="L54" s="56" t="n">
        <f aca="false">1000*1.5</f>
        <v>1500</v>
      </c>
      <c r="M54" s="125" t="n">
        <f aca="false">K54*L54*1000/10000</f>
        <v>292.149925910246</v>
      </c>
      <c r="N54" s="126" t="n">
        <v>300</v>
      </c>
      <c r="O54" s="127" t="s">
        <v>102</v>
      </c>
      <c r="P54" s="127"/>
      <c r="Q54" s="24"/>
      <c r="R54" s="0"/>
      <c r="S54" s="0"/>
      <c r="T54" s="0"/>
      <c r="U54" s="0"/>
      <c r="AD54" s="0"/>
    </row>
    <row r="55" customFormat="false" ht="12.8" hidden="false" customHeight="false" outlineLevel="0" collapsed="false">
      <c r="A55" s="53" t="s">
        <v>10</v>
      </c>
      <c r="B55" s="54" t="s">
        <v>10</v>
      </c>
      <c r="C55" s="69" t="n">
        <v>600</v>
      </c>
      <c r="D55" s="67" t="n">
        <v>8</v>
      </c>
      <c r="E55" s="128" t="n">
        <f aca="false">C55*D55/1000</f>
        <v>4.8</v>
      </c>
      <c r="F55" s="67" t="n">
        <f aca="false">F$50</f>
        <v>60</v>
      </c>
      <c r="G55" s="123" t="n">
        <f aca="false">D23*K23/C55/1000</f>
        <v>0.0476666666666667</v>
      </c>
      <c r="H55" s="123" t="n">
        <f aca="false">E23*K23/E55/1000000</f>
        <v>0.017875</v>
      </c>
      <c r="I55" s="59" t="n">
        <f aca="false">E55*1000000/K23</f>
        <v>16783.2167832168</v>
      </c>
      <c r="J55" s="59" t="n">
        <f aca="false">E55*1000000/K23/F23</f>
        <v>29.97002997003</v>
      </c>
      <c r="K55" s="124" t="n">
        <f aca="false">E55/M23*10000/F55</f>
        <v>0.0410698701165358</v>
      </c>
      <c r="L55" s="56" t="n">
        <f aca="false">L54</f>
        <v>1500</v>
      </c>
      <c r="M55" s="129" t="n">
        <f aca="false">K55*L55*1000/10000</f>
        <v>6.16048051748036</v>
      </c>
      <c r="N55" s="121"/>
      <c r="O55" s="127" t="s">
        <v>100</v>
      </c>
      <c r="P55" s="127"/>
      <c r="Q55" s="24"/>
      <c r="R55" s="0"/>
      <c r="S55" s="0"/>
      <c r="T55" s="0"/>
      <c r="U55" s="0"/>
      <c r="AD55" s="0"/>
    </row>
    <row r="56" customFormat="false" ht="12.8" hidden="false" customHeight="false" outlineLevel="0" collapsed="false">
      <c r="A56" s="53" t="s">
        <v>53</v>
      </c>
      <c r="B56" s="54" t="s">
        <v>103</v>
      </c>
      <c r="C56" s="69" t="n">
        <f aca="false">27483-C57</f>
        <v>25326</v>
      </c>
      <c r="D56" s="67" t="n">
        <v>8</v>
      </c>
      <c r="E56" s="59" t="n">
        <f aca="false">C56*D56/1000</f>
        <v>202.608</v>
      </c>
      <c r="F56" s="67" t="n">
        <f aca="false">F$50</f>
        <v>60</v>
      </c>
      <c r="G56" s="123" t="n">
        <f aca="false">D24*K24/C56/1000</f>
        <v>0.00718629076838032</v>
      </c>
      <c r="H56" s="123" t="n">
        <f aca="false">E24*K24/E56/1000000</f>
        <v>0.0025376589275843</v>
      </c>
      <c r="I56" s="59" t="n">
        <f aca="false">E56*1000000/K24</f>
        <v>202608</v>
      </c>
      <c r="J56" s="59" t="n">
        <f aca="false">E56*1000000/K24/F24</f>
        <v>603</v>
      </c>
      <c r="K56" s="124" t="n">
        <f aca="false">E56/M24*10000/F56</f>
        <v>1.63272410791993</v>
      </c>
      <c r="L56" s="56" t="n">
        <v>1000</v>
      </c>
      <c r="M56" s="129" t="n">
        <f aca="false">K56*L56*1000/10000</f>
        <v>163.272410791993</v>
      </c>
      <c r="N56" s="121"/>
      <c r="O56" s="127" t="s">
        <v>104</v>
      </c>
      <c r="P56" s="127"/>
      <c r="Q56" s="24"/>
      <c r="R56" s="0"/>
      <c r="S56" s="0"/>
      <c r="T56" s="0"/>
      <c r="U56" s="0"/>
      <c r="AD56" s="0"/>
    </row>
    <row r="57" customFormat="false" ht="12.8" hidden="false" customHeight="false" outlineLevel="0" collapsed="false">
      <c r="A57" s="62" t="s">
        <v>55</v>
      </c>
      <c r="B57" s="54" t="s">
        <v>105</v>
      </c>
      <c r="C57" s="69" t="n">
        <v>2157</v>
      </c>
      <c r="D57" s="67" t="n">
        <v>8</v>
      </c>
      <c r="E57" s="59" t="n">
        <f aca="false">C57*D57/1000</f>
        <v>17.256</v>
      </c>
      <c r="F57" s="67" t="n">
        <f aca="false">F$50</f>
        <v>60</v>
      </c>
      <c r="G57" s="122" t="n">
        <f aca="false">D25*K25/C57/1000</f>
        <v>0.0354532127955494</v>
      </c>
      <c r="H57" s="123" t="n">
        <f aca="false">E25*K25/E57/1000000</f>
        <v>0.0128695162447844</v>
      </c>
      <c r="I57" s="59" t="n">
        <f aca="false">E57*1000000/K25</f>
        <v>45172.77486911</v>
      </c>
      <c r="J57" s="59" t="n">
        <f aca="false">E57*1000000/K25/F25</f>
        <v>117.331882776909</v>
      </c>
      <c r="K57" s="124" t="n">
        <f aca="false">E57/M25*10000/F57</f>
        <v>0.0464695427371142</v>
      </c>
      <c r="L57" s="56" t="n">
        <v>2000</v>
      </c>
      <c r="M57" s="130" t="n">
        <f aca="false">K57*L57*1000/10000</f>
        <v>9.29390854742285</v>
      </c>
      <c r="N57" s="126" t="n">
        <v>10</v>
      </c>
      <c r="O57" s="127" t="s">
        <v>106</v>
      </c>
      <c r="P57" s="127"/>
      <c r="Q57" s="24"/>
      <c r="R57" s="0"/>
      <c r="S57" s="0"/>
      <c r="T57" s="0"/>
      <c r="U57" s="0"/>
      <c r="AD57" s="0"/>
    </row>
    <row r="58" customFormat="false" ht="12.8" hidden="false" customHeight="false" outlineLevel="0" collapsed="false">
      <c r="A58" s="73" t="s">
        <v>57</v>
      </c>
      <c r="B58" s="74" t="s">
        <v>107</v>
      </c>
      <c r="C58" s="82" t="n">
        <f aca="false">(2.7+4.2+4.2+2.7)*4500000/76167</f>
        <v>815.313718539525</v>
      </c>
      <c r="D58" s="82"/>
      <c r="E58" s="82" t="n">
        <f aca="false">20*4500000/76167</f>
        <v>1181.61408483989</v>
      </c>
      <c r="F58" s="113" t="n">
        <f aca="false">F$50</f>
        <v>60</v>
      </c>
      <c r="G58" s="131" t="n">
        <f aca="false">D26*K26/C58/1000</f>
        <v>1.15201054347826</v>
      </c>
      <c r="H58" s="132" t="n">
        <f aca="false">E26*K26/E58/1000000</f>
        <v>0.028456964445</v>
      </c>
      <c r="I58" s="82" t="n">
        <f aca="false">E58*1000000/K26</f>
        <v>47264.5633935957</v>
      </c>
      <c r="J58" s="82" t="n">
        <f aca="false">E58*1000000/K26/F26</f>
        <v>295.403521209973</v>
      </c>
      <c r="K58" s="133" t="n">
        <f aca="false">E58/M26*10000/F58</f>
        <v>0.0218817423118498</v>
      </c>
      <c r="L58" s="134" t="n">
        <v>2000</v>
      </c>
      <c r="M58" s="135" t="n">
        <f aca="false">K58*L58*1000/10000</f>
        <v>4.37634846236997</v>
      </c>
      <c r="N58" s="136" t="n">
        <v>5</v>
      </c>
      <c r="O58" s="127" t="s">
        <v>108</v>
      </c>
      <c r="P58" s="127"/>
      <c r="Q58" s="24"/>
      <c r="R58" s="0"/>
      <c r="S58" s="0"/>
      <c r="T58" s="0"/>
      <c r="U58" s="0"/>
      <c r="AD58" s="0"/>
    </row>
    <row r="59" customFormat="false" ht="12.8" hidden="false" customHeight="false" outlineLevel="0" collapsed="false">
      <c r="A59" s="6"/>
      <c r="B59" s="59"/>
      <c r="C59" s="59" t="s">
        <v>109</v>
      </c>
      <c r="D59" s="59"/>
      <c r="E59" s="59" t="s">
        <v>110</v>
      </c>
      <c r="F59" s="59"/>
      <c r="I59" s="4"/>
      <c r="J59" s="4"/>
      <c r="K59" s="0"/>
      <c r="L59" s="0"/>
      <c r="M59" s="0"/>
      <c r="N59" s="4"/>
      <c r="O59" s="0"/>
      <c r="P59" s="0"/>
      <c r="Q59" s="24"/>
      <c r="R59" s="0"/>
      <c r="S59" s="0"/>
      <c r="T59" s="0"/>
      <c r="U59" s="0"/>
      <c r="AD59" s="0"/>
    </row>
    <row r="60" customFormat="false" ht="12.8" hidden="false" customHeight="false" outlineLevel="0" collapsed="false">
      <c r="A60" s="6"/>
      <c r="B60" s="59"/>
      <c r="C60" s="59"/>
      <c r="D60" s="59"/>
      <c r="E60" s="59"/>
      <c r="F60" s="59"/>
      <c r="I60" s="4"/>
      <c r="J60" s="4"/>
      <c r="K60" s="0"/>
      <c r="L60" s="0"/>
      <c r="M60" s="0"/>
      <c r="N60" s="4"/>
      <c r="O60" s="0"/>
      <c r="P60" s="0"/>
      <c r="Q60" s="24"/>
      <c r="R60" s="0"/>
      <c r="S60" s="0"/>
      <c r="T60" s="0"/>
      <c r="U60" s="0"/>
      <c r="AD60" s="0"/>
    </row>
    <row r="61" customFormat="false" ht="12.8" hidden="false" customHeight="false" outlineLevel="0" collapsed="false">
      <c r="A61" s="32" t="s">
        <v>111</v>
      </c>
      <c r="B61" s="33"/>
      <c r="C61" s="34"/>
      <c r="D61" s="34"/>
      <c r="E61" s="34"/>
      <c r="F61" s="34"/>
      <c r="G61" s="34"/>
      <c r="H61" s="6"/>
      <c r="I61" s="6"/>
      <c r="J61" s="6"/>
      <c r="K61" s="6"/>
      <c r="L61" s="6"/>
      <c r="M61" s="6"/>
      <c r="N61" s="9"/>
      <c r="O61" s="8"/>
      <c r="P61" s="8"/>
      <c r="Q61" s="24"/>
      <c r="R61" s="0"/>
      <c r="S61" s="0"/>
      <c r="T61" s="0"/>
      <c r="U61" s="0"/>
      <c r="AD61" s="0"/>
    </row>
    <row r="62" customFormat="false" ht="12.8" hidden="false" customHeight="false" outlineLevel="0" collapsed="false">
      <c r="A62" s="2"/>
      <c r="C62" s="87" t="s">
        <v>59</v>
      </c>
      <c r="D62" s="88" t="s">
        <v>112</v>
      </c>
      <c r="E62" s="88" t="s">
        <v>113</v>
      </c>
      <c r="F62" s="88" t="s">
        <v>63</v>
      </c>
      <c r="G62" s="88" t="s">
        <v>23</v>
      </c>
      <c r="H62" s="88" t="s">
        <v>64</v>
      </c>
      <c r="I62" s="89" t="s">
        <v>65</v>
      </c>
      <c r="J62" s="90"/>
      <c r="N62" s="59"/>
      <c r="O62" s="0"/>
      <c r="P62" s="0"/>
      <c r="Q62" s="24"/>
      <c r="R62" s="0"/>
      <c r="S62" s="0"/>
      <c r="T62" s="0"/>
      <c r="U62" s="0"/>
      <c r="AD62" s="0"/>
    </row>
    <row r="63" customFormat="false" ht="12.8" hidden="false" customHeight="false" outlineLevel="0" collapsed="false">
      <c r="A63" s="2"/>
      <c r="C63" s="91" t="s">
        <v>32</v>
      </c>
      <c r="D63" s="2" t="s">
        <v>32</v>
      </c>
      <c r="E63" s="2" t="s">
        <v>32</v>
      </c>
      <c r="F63" s="2" t="s">
        <v>32</v>
      </c>
      <c r="G63" s="2" t="s">
        <v>32</v>
      </c>
      <c r="H63" s="2" t="s">
        <v>32</v>
      </c>
      <c r="I63" s="92" t="s">
        <v>66</v>
      </c>
      <c r="N63" s="59"/>
      <c r="O63" s="0"/>
      <c r="P63" s="0"/>
      <c r="Q63" s="24"/>
      <c r="R63" s="0"/>
      <c r="S63" s="0"/>
      <c r="T63" s="0"/>
      <c r="U63" s="0"/>
      <c r="AD63" s="0"/>
    </row>
    <row r="64" customFormat="false" ht="12.8" hidden="false" customHeight="false" outlineLevel="0" collapsed="false">
      <c r="A64" s="22"/>
      <c r="B64" s="93" t="s">
        <v>67</v>
      </c>
      <c r="C64" s="137" t="n">
        <v>2</v>
      </c>
      <c r="D64" s="82" t="n">
        <v>1</v>
      </c>
      <c r="E64" s="82" t="n">
        <v>1</v>
      </c>
      <c r="F64" s="82" t="n">
        <v>1</v>
      </c>
      <c r="G64" s="82"/>
      <c r="H64" s="82"/>
      <c r="I64" s="138"/>
      <c r="J64" s="139"/>
      <c r="N64" s="59"/>
      <c r="O64" s="0"/>
      <c r="P64" s="0"/>
      <c r="Q64" s="24"/>
      <c r="R64" s="0"/>
      <c r="S64" s="0"/>
      <c r="T64" s="0"/>
      <c r="U64" s="0"/>
      <c r="AD64" s="0"/>
    </row>
    <row r="65" customFormat="false" ht="12.8" hidden="false" customHeight="false" outlineLevel="0" collapsed="false">
      <c r="A65" s="140" t="s">
        <v>43</v>
      </c>
      <c r="B65" s="141"/>
      <c r="C65" s="142"/>
      <c r="D65" s="142"/>
      <c r="E65" s="142"/>
      <c r="F65" s="142"/>
      <c r="G65" s="142" t="n">
        <f aca="false">SUM(C65:F65)</f>
        <v>0</v>
      </c>
      <c r="H65" s="142" t="n">
        <f aca="false">SUMPRODUCT(C$64:F$64,C65:F65)</f>
        <v>0</v>
      </c>
      <c r="I65" s="143" t="n">
        <v>1</v>
      </c>
      <c r="N65" s="59"/>
      <c r="O65" s="0"/>
      <c r="P65" s="0"/>
      <c r="Q65" s="24"/>
      <c r="R65" s="0"/>
      <c r="S65" s="0"/>
      <c r="T65" s="0"/>
      <c r="U65" s="0"/>
      <c r="AD65" s="0"/>
    </row>
    <row r="66" customFormat="false" ht="12.8" hidden="false" customHeight="false" outlineLevel="0" collapsed="false">
      <c r="A66" s="144" t="s">
        <v>45</v>
      </c>
      <c r="B66" s="145"/>
      <c r="C66" s="59"/>
      <c r="D66" s="59"/>
      <c r="E66" s="59"/>
      <c r="F66" s="59"/>
      <c r="G66" s="59" t="n">
        <f aca="false">SUM(C66:F66)</f>
        <v>0</v>
      </c>
      <c r="H66" s="59" t="n">
        <f aca="false">SUMPRODUCT(C$64:F$64,C66:F66)</f>
        <v>0</v>
      </c>
      <c r="I66" s="107" t="n">
        <v>1</v>
      </c>
      <c r="N66" s="59"/>
      <c r="O66" s="0"/>
      <c r="P66" s="0"/>
      <c r="Q66" s="24"/>
      <c r="R66" s="0"/>
      <c r="S66" s="0"/>
      <c r="T66" s="0"/>
      <c r="U66" s="0"/>
      <c r="AD66" s="0"/>
    </row>
    <row r="67" customFormat="false" ht="12.8" hidden="false" customHeight="false" outlineLevel="0" collapsed="false">
      <c r="A67" s="144" t="s">
        <v>70</v>
      </c>
      <c r="B67" s="145"/>
      <c r="C67" s="59"/>
      <c r="D67" s="59"/>
      <c r="E67" s="59"/>
      <c r="F67" s="59"/>
      <c r="G67" s="59" t="n">
        <f aca="false">SUM(C67:F67)</f>
        <v>0</v>
      </c>
      <c r="H67" s="59" t="n">
        <f aca="false">SUMPRODUCT(C$64:F$64,C67:F67)</f>
        <v>0</v>
      </c>
      <c r="I67" s="107" t="n">
        <v>1</v>
      </c>
      <c r="N67" s="59"/>
      <c r="O67" s="0"/>
      <c r="P67" s="0"/>
      <c r="Q67" s="24"/>
      <c r="R67" s="0"/>
      <c r="S67" s="0"/>
      <c r="T67" s="0"/>
      <c r="U67" s="0"/>
      <c r="AD67" s="0"/>
    </row>
    <row r="68" customFormat="false" ht="12.8" hidden="false" customHeight="false" outlineLevel="0" collapsed="false">
      <c r="A68" s="144" t="s">
        <v>71</v>
      </c>
      <c r="B68" s="145"/>
      <c r="C68" s="59"/>
      <c r="D68" s="59"/>
      <c r="E68" s="59"/>
      <c r="F68" s="59"/>
      <c r="G68" s="59" t="n">
        <f aca="false">SUM(C68:F68)</f>
        <v>0</v>
      </c>
      <c r="H68" s="59" t="n">
        <f aca="false">SUMPRODUCT(C$64:F$64,C68:F68)</f>
        <v>0</v>
      </c>
      <c r="I68" s="107" t="n">
        <v>1</v>
      </c>
      <c r="N68" s="59"/>
      <c r="O68" s="0"/>
      <c r="P68" s="0"/>
      <c r="Q68" s="24"/>
      <c r="R68" s="0"/>
      <c r="S68" s="0"/>
      <c r="T68" s="0"/>
      <c r="U68" s="0"/>
      <c r="AD68" s="0"/>
    </row>
    <row r="69" customFormat="false" ht="12.8" hidden="false" customHeight="false" outlineLevel="0" collapsed="false">
      <c r="A69" s="144" t="s">
        <v>72</v>
      </c>
      <c r="B69" s="145"/>
      <c r="C69" s="59"/>
      <c r="D69" s="59"/>
      <c r="E69" s="59"/>
      <c r="F69" s="59"/>
      <c r="G69" s="59" t="n">
        <f aca="false">SUM(C69:F69)</f>
        <v>0</v>
      </c>
      <c r="H69" s="59" t="n">
        <f aca="false">SUMPRODUCT(C$64:F$64,C69:F69)</f>
        <v>0</v>
      </c>
      <c r="I69" s="107" t="n">
        <v>1</v>
      </c>
      <c r="N69" s="59"/>
      <c r="O69" s="0"/>
      <c r="P69" s="0"/>
      <c r="Q69" s="24"/>
      <c r="R69" s="0"/>
      <c r="S69" s="0"/>
      <c r="T69" s="0"/>
      <c r="U69" s="0"/>
      <c r="AD69" s="0"/>
    </row>
    <row r="70" customFormat="false" ht="12.8" hidden="false" customHeight="false" outlineLevel="0" collapsed="false">
      <c r="A70" s="144" t="s">
        <v>51</v>
      </c>
      <c r="B70" s="145" t="s">
        <v>114</v>
      </c>
      <c r="C70" s="56" t="n">
        <v>10</v>
      </c>
      <c r="D70" s="56" t="n">
        <v>50</v>
      </c>
      <c r="E70" s="56" t="n">
        <f aca="false">0.5*1500+200</f>
        <v>950</v>
      </c>
      <c r="F70" s="56" t="n">
        <v>50</v>
      </c>
      <c r="G70" s="146" t="n">
        <f aca="false">SUM(C70:F70)</f>
        <v>1060</v>
      </c>
      <c r="H70" s="146" t="n">
        <f aca="false">SUMPRODUCT(C$64:F$64,C70:F70)</f>
        <v>1070</v>
      </c>
      <c r="I70" s="105" t="n">
        <v>1</v>
      </c>
      <c r="J70" s="147" t="s">
        <v>115</v>
      </c>
      <c r="N70" s="59"/>
      <c r="O70" s="0"/>
      <c r="P70" s="0"/>
      <c r="Q70" s="24"/>
      <c r="R70" s="0"/>
      <c r="S70" s="0"/>
      <c r="T70" s="0"/>
      <c r="U70" s="0"/>
      <c r="AD70" s="0"/>
    </row>
    <row r="71" customFormat="false" ht="12.8" hidden="false" customHeight="false" outlineLevel="0" collapsed="false">
      <c r="A71" s="144" t="s">
        <v>75</v>
      </c>
      <c r="B71" s="145"/>
      <c r="C71" s="59"/>
      <c r="D71" s="59"/>
      <c r="E71" s="59"/>
      <c r="F71" s="59"/>
      <c r="G71" s="59" t="n">
        <f aca="false">SUM(C71:F71)</f>
        <v>0</v>
      </c>
      <c r="H71" s="59" t="n">
        <f aca="false">SUMPRODUCT(C$64:F$64,C71:F71)</f>
        <v>0</v>
      </c>
      <c r="I71" s="107" t="n">
        <v>1</v>
      </c>
      <c r="N71" s="59"/>
      <c r="O71" s="0"/>
      <c r="P71" s="0"/>
      <c r="Q71" s="24"/>
      <c r="R71" s="0"/>
      <c r="S71" s="0"/>
      <c r="T71" s="0"/>
      <c r="U71" s="0"/>
      <c r="AD71" s="0"/>
    </row>
    <row r="72" customFormat="false" ht="12.8" hidden="false" customHeight="false" outlineLevel="0" collapsed="false">
      <c r="A72" s="144" t="s">
        <v>76</v>
      </c>
      <c r="B72" s="145" t="s">
        <v>116</v>
      </c>
      <c r="C72" s="67" t="n">
        <v>100</v>
      </c>
      <c r="D72" s="67" t="n">
        <v>100</v>
      </c>
      <c r="E72" s="67" t="n">
        <v>5000</v>
      </c>
      <c r="F72" s="67" t="n">
        <v>200</v>
      </c>
      <c r="G72" s="59" t="n">
        <f aca="false">SUM(C72:F72)</f>
        <v>5400</v>
      </c>
      <c r="H72" s="59" t="n">
        <f aca="false">SUMPRODUCT(C$64:F$64,C72:F72)</f>
        <v>5500</v>
      </c>
      <c r="I72" s="105" t="n">
        <f aca="false">H72/G72</f>
        <v>1.01851851851852</v>
      </c>
      <c r="J72" s="148" t="s">
        <v>117</v>
      </c>
      <c r="N72" s="59"/>
      <c r="O72" s="0"/>
      <c r="P72" s="0"/>
      <c r="Q72" s="24"/>
      <c r="R72" s="0"/>
      <c r="S72" s="0"/>
      <c r="T72" s="0"/>
      <c r="U72" s="0"/>
      <c r="AD72" s="0"/>
    </row>
    <row r="73" customFormat="false" ht="12.8" hidden="false" customHeight="false" outlineLevel="0" collapsed="false">
      <c r="A73" s="144" t="s">
        <v>77</v>
      </c>
      <c r="B73" s="145" t="s">
        <v>118</v>
      </c>
      <c r="C73" s="108" t="n">
        <v>600</v>
      </c>
      <c r="D73" s="108" t="n">
        <v>2300</v>
      </c>
      <c r="E73" s="108" t="n">
        <v>8000</v>
      </c>
      <c r="F73" s="108" t="n">
        <v>100</v>
      </c>
      <c r="G73" s="59" t="n">
        <f aca="false">SUM(C73:F73)</f>
        <v>11000</v>
      </c>
      <c r="H73" s="59" t="n">
        <f aca="false">SUMPRODUCT(C$64:F$64,C73:F73)</f>
        <v>11600</v>
      </c>
      <c r="I73" s="105" t="n">
        <f aca="false">H73/G73</f>
        <v>1.05454545454545</v>
      </c>
      <c r="J73" s="98" t="s">
        <v>119</v>
      </c>
      <c r="N73" s="59"/>
      <c r="O73" s="0"/>
      <c r="P73" s="0"/>
      <c r="Q73" s="24"/>
      <c r="R73" s="0"/>
      <c r="S73" s="0"/>
      <c r="T73" s="0"/>
      <c r="U73" s="0"/>
      <c r="AD73" s="0"/>
    </row>
    <row r="74" customFormat="false" ht="12.8" hidden="false" customHeight="false" outlineLevel="0" collapsed="false">
      <c r="A74" s="149" t="s">
        <v>57</v>
      </c>
      <c r="B74" s="150"/>
      <c r="C74" s="82"/>
      <c r="D74" s="82"/>
      <c r="E74" s="82"/>
      <c r="F74" s="82"/>
      <c r="G74" s="82" t="n">
        <f aca="false">SUM(C74:F74)</f>
        <v>0</v>
      </c>
      <c r="H74" s="82" t="n">
        <f aca="false">SUMPRODUCT(C$64:F$64,C74:F74)</f>
        <v>0</v>
      </c>
      <c r="I74" s="151" t="n">
        <v>1</v>
      </c>
      <c r="N74" s="59"/>
      <c r="O74" s="0"/>
      <c r="P74" s="0"/>
      <c r="Q74" s="24"/>
      <c r="R74" s="0"/>
      <c r="S74" s="0"/>
      <c r="T74" s="0"/>
      <c r="U74" s="0"/>
      <c r="AD74" s="0"/>
    </row>
    <row r="75" customFormat="false" ht="12.8" hidden="false" customHeight="false" outlineLevel="0" collapsed="false">
      <c r="A75" s="4"/>
      <c r="B75" s="104"/>
      <c r="C75" s="59"/>
      <c r="D75" s="59"/>
      <c r="E75" s="59"/>
      <c r="F75" s="59"/>
      <c r="G75" s="59"/>
      <c r="H75" s="59"/>
      <c r="I75" s="104"/>
      <c r="N75" s="59"/>
      <c r="O75" s="0"/>
      <c r="P75" s="0"/>
      <c r="Q75" s="24"/>
      <c r="R75" s="0"/>
      <c r="S75" s="0"/>
      <c r="T75" s="0"/>
      <c r="U75" s="0"/>
      <c r="AD75" s="0"/>
    </row>
    <row r="76" customFormat="false" ht="12.8" hidden="false" customHeight="false" outlineLevel="0" collapsed="false">
      <c r="A76" s="4"/>
      <c r="B76" s="104"/>
      <c r="C76" s="59"/>
      <c r="D76" s="59"/>
      <c r="E76" s="59"/>
      <c r="F76" s="59"/>
      <c r="G76" s="59"/>
      <c r="H76" s="59"/>
      <c r="I76" s="104"/>
      <c r="N76" s="59"/>
      <c r="O76" s="0"/>
      <c r="P76" s="0"/>
      <c r="Q76" s="24"/>
      <c r="R76" s="0"/>
      <c r="S76" s="0"/>
      <c r="T76" s="0"/>
      <c r="U76" s="0"/>
      <c r="AD76" s="0"/>
    </row>
    <row r="77" customFormat="false" ht="12.8" hidden="false" customHeight="false" outlineLevel="0" collapsed="false">
      <c r="A77" s="39" t="s">
        <v>120</v>
      </c>
      <c r="B77" s="104"/>
      <c r="C77" s="59"/>
      <c r="D77" s="59"/>
      <c r="E77" s="59"/>
      <c r="F77" s="59"/>
      <c r="G77" s="59"/>
      <c r="H77" s="59"/>
      <c r="I77" s="104"/>
      <c r="N77" s="59"/>
      <c r="O77" s="0"/>
      <c r="P77" s="0"/>
      <c r="Q77" s="24"/>
      <c r="R77" s="0"/>
      <c r="S77" s="0"/>
      <c r="T77" s="0"/>
      <c r="U77" s="0"/>
      <c r="AD77" s="0"/>
    </row>
    <row r="78" customFormat="false" ht="12.8" hidden="false" customHeight="false" outlineLevel="0" collapsed="false">
      <c r="A78" s="39"/>
      <c r="B78" s="33"/>
      <c r="C78" s="34"/>
      <c r="D78" s="152" t="s">
        <v>121</v>
      </c>
      <c r="E78" s="153" t="n">
        <v>3</v>
      </c>
      <c r="F78" s="154" t="s">
        <v>122</v>
      </c>
      <c r="G78" s="85"/>
      <c r="H78" s="85"/>
      <c r="I78" s="85"/>
      <c r="J78" s="85"/>
      <c r="K78" s="85"/>
      <c r="L78" s="85"/>
      <c r="M78" s="85"/>
      <c r="N78" s="4"/>
      <c r="O78" s="4"/>
      <c r="P78" s="4"/>
      <c r="Q78" s="155"/>
      <c r="R78" s="59"/>
      <c r="S78" s="59"/>
      <c r="T78" s="59"/>
      <c r="U78" s="59"/>
      <c r="V78" s="59"/>
      <c r="W78" s="59"/>
      <c r="X78" s="104"/>
      <c r="Y78" s="2"/>
      <c r="Z78" s="2"/>
      <c r="AA78" s="2"/>
      <c r="AB78" s="2"/>
      <c r="AC78" s="59"/>
      <c r="AD78" s="0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  <c r="ACQ78" s="8"/>
      <c r="ACR78" s="8"/>
      <c r="ACS78" s="8"/>
      <c r="ACT78" s="8"/>
      <c r="ACU78" s="8"/>
      <c r="ACV78" s="8"/>
      <c r="ACW78" s="8"/>
      <c r="ACX78" s="8"/>
      <c r="ACY78" s="8"/>
      <c r="ACZ78" s="8"/>
      <c r="ADA78" s="8"/>
      <c r="ADB78" s="8"/>
      <c r="ADC78" s="8"/>
      <c r="ADD78" s="8"/>
      <c r="ADE78" s="8"/>
      <c r="ADF78" s="8"/>
      <c r="ADG78" s="8"/>
      <c r="ADH78" s="8"/>
      <c r="ADI78" s="8"/>
      <c r="ADJ78" s="8"/>
      <c r="ADK78" s="8"/>
      <c r="ADL78" s="8"/>
      <c r="ADM78" s="8"/>
      <c r="ADN78" s="8"/>
      <c r="ADO78" s="8"/>
      <c r="ADP78" s="8"/>
      <c r="ADQ78" s="8"/>
      <c r="ADR78" s="8"/>
      <c r="ADS78" s="8"/>
      <c r="ADT78" s="8"/>
      <c r="ADU78" s="8"/>
      <c r="ADV78" s="8"/>
      <c r="ADW78" s="8"/>
      <c r="ADX78" s="8"/>
      <c r="ADY78" s="8"/>
      <c r="ADZ78" s="8"/>
      <c r="AEA78" s="8"/>
      <c r="AEB78" s="8"/>
      <c r="AEC78" s="8"/>
      <c r="AED78" s="8"/>
      <c r="AEE78" s="8"/>
      <c r="AEF78" s="8"/>
      <c r="AEG78" s="8"/>
      <c r="AEH78" s="8"/>
      <c r="AEI78" s="8"/>
      <c r="AEJ78" s="8"/>
      <c r="AEK78" s="8"/>
      <c r="AEL78" s="8"/>
      <c r="AEM78" s="8"/>
      <c r="AEN78" s="8"/>
      <c r="AEO78" s="8"/>
      <c r="AEP78" s="8"/>
      <c r="AEQ78" s="8"/>
      <c r="AER78" s="8"/>
      <c r="AES78" s="8"/>
      <c r="AET78" s="8"/>
      <c r="AEU78" s="8"/>
      <c r="AEV78" s="8"/>
      <c r="AEW78" s="8"/>
      <c r="AEX78" s="8"/>
      <c r="AEY78" s="8"/>
      <c r="AEZ78" s="8"/>
      <c r="AFA78" s="8"/>
      <c r="AFB78" s="8"/>
      <c r="AFC78" s="8"/>
      <c r="AFD78" s="8"/>
      <c r="AFE78" s="8"/>
      <c r="AFF78" s="8"/>
      <c r="AFG78" s="8"/>
      <c r="AFH78" s="8"/>
      <c r="AFI78" s="8"/>
      <c r="AFJ78" s="8"/>
      <c r="AFK78" s="8"/>
      <c r="AFL78" s="8"/>
      <c r="AFM78" s="8"/>
      <c r="AFN78" s="8"/>
      <c r="AFO78" s="8"/>
      <c r="AFP78" s="8"/>
      <c r="AFQ78" s="8"/>
      <c r="AFR78" s="8"/>
      <c r="AFS78" s="8"/>
      <c r="AFT78" s="8"/>
      <c r="AFU78" s="8"/>
      <c r="AFV78" s="8"/>
      <c r="AFW78" s="8"/>
      <c r="AFX78" s="8"/>
      <c r="AFY78" s="8"/>
      <c r="AFZ78" s="8"/>
      <c r="AGA78" s="8"/>
      <c r="AGB78" s="8"/>
      <c r="AGC78" s="8"/>
      <c r="AGD78" s="8"/>
      <c r="AGE78" s="8"/>
      <c r="AGF78" s="8"/>
      <c r="AGG78" s="8"/>
      <c r="AGH78" s="8"/>
      <c r="AGI78" s="8"/>
      <c r="AGJ78" s="8"/>
      <c r="AGK78" s="8"/>
      <c r="AGL78" s="8"/>
      <c r="AGM78" s="8"/>
      <c r="AGN78" s="8"/>
      <c r="AGO78" s="8"/>
      <c r="AGP78" s="8"/>
      <c r="AGQ78" s="8"/>
      <c r="AGR78" s="8"/>
      <c r="AGS78" s="8"/>
      <c r="AGT78" s="8"/>
      <c r="AGU78" s="8"/>
      <c r="AGV78" s="8"/>
      <c r="AGW78" s="8"/>
      <c r="AGX78" s="8"/>
      <c r="AGY78" s="8"/>
      <c r="AGZ78" s="8"/>
      <c r="AHA78" s="8"/>
      <c r="AHB78" s="8"/>
      <c r="AHC78" s="8"/>
      <c r="AHD78" s="8"/>
      <c r="AHE78" s="8"/>
      <c r="AHF78" s="8"/>
      <c r="AHG78" s="8"/>
      <c r="AHH78" s="8"/>
      <c r="AHI78" s="8"/>
      <c r="AHJ78" s="8"/>
      <c r="AHK78" s="8"/>
      <c r="AHL78" s="8"/>
      <c r="AHM78" s="8"/>
      <c r="AHN78" s="8"/>
      <c r="AHO78" s="8"/>
      <c r="AHP78" s="8"/>
      <c r="AHQ78" s="8"/>
      <c r="AHR78" s="8"/>
      <c r="AHS78" s="8"/>
      <c r="AHT78" s="8"/>
      <c r="AHU78" s="8"/>
      <c r="AHV78" s="8"/>
      <c r="AHW78" s="8"/>
      <c r="AHX78" s="8"/>
      <c r="AHY78" s="8"/>
      <c r="AHZ78" s="8"/>
      <c r="AIA78" s="8"/>
      <c r="AIB78" s="8"/>
      <c r="AIC78" s="8"/>
      <c r="AID78" s="8"/>
      <c r="AIE78" s="8"/>
      <c r="AIF78" s="8"/>
      <c r="AIG78" s="8"/>
      <c r="AIH78" s="8"/>
      <c r="AII78" s="8"/>
      <c r="AIJ78" s="8"/>
      <c r="AIK78" s="8"/>
      <c r="AIL78" s="8"/>
      <c r="AIM78" s="8"/>
      <c r="AIN78" s="8"/>
      <c r="AIO78" s="8"/>
      <c r="AIP78" s="8"/>
      <c r="AIQ78" s="8"/>
      <c r="AIR78" s="8"/>
      <c r="AIS78" s="8"/>
      <c r="AIT78" s="8"/>
      <c r="AIU78" s="8"/>
      <c r="AIV78" s="8"/>
      <c r="AIW78" s="8"/>
      <c r="AIX78" s="8"/>
      <c r="AIY78" s="8"/>
      <c r="AIZ78" s="8"/>
      <c r="AJA78" s="8"/>
      <c r="AJB78" s="8"/>
      <c r="AJC78" s="8"/>
      <c r="AJD78" s="8"/>
      <c r="AJE78" s="8"/>
      <c r="AJF78" s="8"/>
      <c r="AJG78" s="8"/>
      <c r="AJH78" s="8"/>
      <c r="AJI78" s="8"/>
      <c r="AJJ78" s="8"/>
      <c r="AJK78" s="8"/>
      <c r="AJL78" s="8"/>
      <c r="AJM78" s="8"/>
      <c r="AJN78" s="8"/>
      <c r="AJO78" s="8"/>
      <c r="AJP78" s="8"/>
      <c r="AJQ78" s="8"/>
      <c r="AJR78" s="8"/>
      <c r="AJS78" s="8"/>
      <c r="AJT78" s="8"/>
      <c r="AJU78" s="8"/>
      <c r="AJV78" s="8"/>
      <c r="AJW78" s="8"/>
      <c r="AJX78" s="8"/>
      <c r="AJY78" s="8"/>
      <c r="AJZ78" s="8"/>
      <c r="AKA78" s="8"/>
      <c r="AKB78" s="8"/>
      <c r="AKC78" s="8"/>
      <c r="AKD78" s="8"/>
      <c r="AKE78" s="8"/>
      <c r="AKF78" s="8"/>
      <c r="AKG78" s="8"/>
      <c r="AKH78" s="8"/>
      <c r="AKI78" s="8"/>
      <c r="AKJ78" s="8"/>
      <c r="AKK78" s="8"/>
      <c r="AKL78" s="8"/>
      <c r="AKM78" s="8"/>
      <c r="AKN78" s="8"/>
      <c r="AKO78" s="8"/>
      <c r="AKP78" s="8"/>
      <c r="AKQ78" s="8"/>
      <c r="AKR78" s="8"/>
      <c r="AKS78" s="8"/>
      <c r="AKT78" s="8"/>
      <c r="AKU78" s="8"/>
      <c r="AKV78" s="8"/>
      <c r="AKW78" s="8"/>
      <c r="AKX78" s="8"/>
      <c r="AKY78" s="8"/>
      <c r="AKZ78" s="8"/>
      <c r="ALA78" s="8"/>
      <c r="ALB78" s="8"/>
      <c r="ALC78" s="8"/>
      <c r="ALD78" s="8"/>
      <c r="ALE78" s="8"/>
      <c r="ALF78" s="8"/>
      <c r="ALG78" s="8"/>
      <c r="ALH78" s="8"/>
      <c r="ALI78" s="8"/>
      <c r="ALJ78" s="8"/>
      <c r="ALK78" s="8"/>
      <c r="ALL78" s="8"/>
      <c r="ALM78" s="8"/>
      <c r="ALN78" s="8"/>
      <c r="ALO78" s="8"/>
      <c r="ALP78" s="8"/>
      <c r="ALQ78" s="8"/>
      <c r="ALR78" s="8"/>
      <c r="ALS78" s="8"/>
      <c r="ALT78" s="8"/>
      <c r="ALU78" s="8"/>
      <c r="ALV78" s="8"/>
      <c r="ALW78" s="8"/>
      <c r="ALX78" s="8"/>
      <c r="ALY78" s="8"/>
      <c r="ALZ78" s="8"/>
      <c r="AMA78" s="8"/>
      <c r="AMB78" s="8"/>
      <c r="AMC78" s="8"/>
      <c r="AMD78" s="8"/>
      <c r="AME78" s="8"/>
      <c r="AMF78" s="8"/>
      <c r="AMG78" s="8"/>
      <c r="AMH78" s="8"/>
      <c r="AMI78" s="8"/>
      <c r="AMJ78" s="8"/>
    </row>
    <row r="79" customFormat="false" ht="12.8" hidden="false" customHeight="false" outlineLevel="0" collapsed="false">
      <c r="A79" s="42" t="s">
        <v>21</v>
      </c>
      <c r="B79" s="43" t="s">
        <v>123</v>
      </c>
      <c r="C79" s="44" t="s">
        <v>124</v>
      </c>
      <c r="D79" s="45" t="s">
        <v>125</v>
      </c>
      <c r="E79" s="45"/>
      <c r="F79" s="45" t="s">
        <v>40</v>
      </c>
      <c r="G79" s="45"/>
      <c r="H79" s="45" t="s">
        <v>126</v>
      </c>
      <c r="I79" s="45"/>
      <c r="J79" s="45" t="s">
        <v>127</v>
      </c>
      <c r="K79" s="45" t="s">
        <v>128</v>
      </c>
      <c r="L79" s="45"/>
      <c r="M79" s="156" t="s">
        <v>129</v>
      </c>
      <c r="N79" s="48" t="s">
        <v>64</v>
      </c>
      <c r="O79" s="48"/>
      <c r="P79" s="157"/>
      <c r="Q79" s="158"/>
      <c r="R79" s="157"/>
      <c r="S79" s="159"/>
      <c r="T79" s="108"/>
      <c r="U79" s="108"/>
      <c r="V79" s="108"/>
      <c r="W79" s="108"/>
      <c r="X79" s="108"/>
      <c r="Y79" s="108"/>
      <c r="Z79" s="159"/>
      <c r="AA79" s="109"/>
      <c r="AB79" s="109"/>
      <c r="AC79" s="109"/>
      <c r="AD79" s="109"/>
      <c r="AE79" s="108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  <c r="AML79" s="41"/>
      <c r="AMM79" s="41"/>
    </row>
    <row r="80" s="41" customFormat="true" ht="12.8" hidden="false" customHeight="false" outlineLevel="0" collapsed="false">
      <c r="A80" s="42"/>
      <c r="B80" s="43"/>
      <c r="C80" s="49" t="s">
        <v>37</v>
      </c>
      <c r="D80" s="49" t="s">
        <v>130</v>
      </c>
      <c r="E80" s="49" t="s">
        <v>131</v>
      </c>
      <c r="F80" s="49" t="s">
        <v>132</v>
      </c>
      <c r="G80" s="49" t="s">
        <v>133</v>
      </c>
      <c r="H80" s="49" t="s">
        <v>132</v>
      </c>
      <c r="I80" s="49" t="s">
        <v>133</v>
      </c>
      <c r="J80" s="49" t="s">
        <v>133</v>
      </c>
      <c r="K80" s="49" t="s">
        <v>134</v>
      </c>
      <c r="L80" s="49" t="s">
        <v>135</v>
      </c>
      <c r="M80" s="50" t="s">
        <v>135</v>
      </c>
      <c r="N80" s="49" t="s">
        <v>136</v>
      </c>
      <c r="O80" s="51" t="s">
        <v>137</v>
      </c>
      <c r="P80" s="157"/>
      <c r="Q80" s="158"/>
      <c r="R80" s="157"/>
      <c r="S80" s="159"/>
      <c r="T80" s="108"/>
      <c r="U80" s="108"/>
      <c r="V80" s="108"/>
      <c r="W80" s="108"/>
      <c r="X80" s="108"/>
      <c r="Y80" s="108"/>
      <c r="Z80" s="159"/>
      <c r="AA80" s="109"/>
      <c r="AB80" s="109"/>
      <c r="AC80" s="109"/>
      <c r="AD80" s="109"/>
      <c r="AE80" s="108"/>
      <c r="AJ80" s="109"/>
      <c r="AMN80" s="0"/>
    </row>
    <row r="81" s="41" customFormat="true" ht="12.8" hidden="false" customHeight="false" outlineLevel="0" collapsed="false">
      <c r="A81" s="53" t="s">
        <v>43</v>
      </c>
      <c r="B81" s="54"/>
      <c r="C81" s="59"/>
      <c r="D81" s="59"/>
      <c r="E81" s="59"/>
      <c r="F81" s="59"/>
      <c r="G81" s="59"/>
      <c r="H81" s="59"/>
      <c r="I81" s="59"/>
      <c r="J81" s="85"/>
      <c r="K81" s="67" t="n">
        <v>0</v>
      </c>
      <c r="L81" s="108"/>
      <c r="M81" s="129"/>
      <c r="N81" s="59"/>
      <c r="O81" s="160"/>
      <c r="P81" s="4"/>
      <c r="Q81" s="23"/>
      <c r="R81" s="4"/>
      <c r="S81" s="104"/>
      <c r="T81" s="59"/>
      <c r="U81" s="59"/>
      <c r="V81" s="59"/>
      <c r="W81" s="59"/>
      <c r="X81" s="59"/>
      <c r="Y81" s="59"/>
      <c r="Z81" s="104"/>
      <c r="AA81" s="2"/>
      <c r="AB81" s="2"/>
      <c r="AC81" s="2"/>
      <c r="AD81" s="2"/>
      <c r="AE81" s="59"/>
      <c r="AF81" s="0"/>
      <c r="AG81" s="0"/>
      <c r="AH81" s="0"/>
      <c r="AI81" s="0"/>
      <c r="AJ81" s="2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  <c r="AMK81" s="0"/>
      <c r="AML81" s="0"/>
      <c r="AMM81" s="0"/>
      <c r="AMN81" s="0"/>
    </row>
    <row r="82" customFormat="false" ht="12.8" hidden="false" customHeight="false" outlineLevel="0" collapsed="false">
      <c r="A82" s="62" t="s">
        <v>45</v>
      </c>
      <c r="B82" s="54" t="s">
        <v>138</v>
      </c>
      <c r="C82" s="67" t="n">
        <v>250</v>
      </c>
      <c r="D82" s="59" t="n">
        <f aca="false">C82*2</f>
        <v>500</v>
      </c>
      <c r="E82" s="59" t="n">
        <f aca="false">D82*E$78</f>
        <v>1500</v>
      </c>
      <c r="F82" s="128" t="n">
        <f aca="false">E82*$O18/1000</f>
        <v>4.28727866278228</v>
      </c>
      <c r="G82" s="161" t="n">
        <f aca="false">F82*$J34</f>
        <v>8.28873874804573</v>
      </c>
      <c r="H82" s="59" t="n">
        <f aca="false">E82*$M50/1000</f>
        <v>45.2359552883324</v>
      </c>
      <c r="I82" s="162" t="n">
        <f aca="false">H82*$I66</f>
        <v>45.2359552883324</v>
      </c>
      <c r="J82" s="163" t="n">
        <f aca="false">G82+I82</f>
        <v>53.5246940363781</v>
      </c>
      <c r="K82" s="67" t="n">
        <v>0</v>
      </c>
      <c r="L82" s="162" t="n">
        <f aca="false">D82*K82/1000</f>
        <v>0</v>
      </c>
      <c r="M82" s="164" t="n">
        <v>0</v>
      </c>
      <c r="N82" s="165" t="n">
        <v>8</v>
      </c>
      <c r="O82" s="166" t="n">
        <v>50</v>
      </c>
      <c r="P82" s="4"/>
      <c r="Q82" s="23"/>
      <c r="R82" s="4"/>
      <c r="S82" s="104"/>
      <c r="T82" s="59"/>
      <c r="U82" s="59"/>
      <c r="V82" s="59"/>
      <c r="W82" s="59"/>
      <c r="X82" s="59"/>
      <c r="Y82" s="59"/>
      <c r="Z82" s="104"/>
      <c r="AA82" s="2"/>
      <c r="AB82" s="2"/>
      <c r="AC82" s="2"/>
      <c r="AD82" s="2"/>
      <c r="AE82" s="59"/>
      <c r="AJ82" s="2"/>
    </row>
    <row r="83" customFormat="false" ht="12.8" hidden="false" customHeight="false" outlineLevel="0" collapsed="false">
      <c r="A83" s="53" t="s">
        <v>70</v>
      </c>
      <c r="B83" s="54"/>
      <c r="C83" s="59"/>
      <c r="D83" s="59"/>
      <c r="E83" s="59"/>
      <c r="F83" s="59"/>
      <c r="G83" s="59"/>
      <c r="H83" s="59"/>
      <c r="I83" s="59"/>
      <c r="J83" s="85"/>
      <c r="K83" s="67" t="n">
        <v>50</v>
      </c>
      <c r="L83" s="108"/>
      <c r="M83" s="129"/>
      <c r="N83" s="59"/>
      <c r="O83" s="160"/>
      <c r="P83" s="4"/>
      <c r="Q83" s="23"/>
      <c r="R83" s="4"/>
      <c r="S83" s="104"/>
      <c r="T83" s="59"/>
      <c r="U83" s="59"/>
      <c r="V83" s="59"/>
      <c r="W83" s="59"/>
      <c r="X83" s="59"/>
      <c r="Y83" s="59"/>
      <c r="Z83" s="104"/>
      <c r="AA83" s="2"/>
      <c r="AB83" s="2"/>
      <c r="AC83" s="2"/>
      <c r="AD83" s="2"/>
      <c r="AE83" s="59"/>
      <c r="AJ83" s="2"/>
    </row>
    <row r="84" customFormat="false" ht="12.8" hidden="false" customHeight="false" outlineLevel="0" collapsed="false">
      <c r="A84" s="53" t="s">
        <v>71</v>
      </c>
      <c r="B84" s="54"/>
      <c r="C84" s="59"/>
      <c r="D84" s="59"/>
      <c r="E84" s="59"/>
      <c r="F84" s="59"/>
      <c r="G84" s="59"/>
      <c r="H84" s="59"/>
      <c r="I84" s="59"/>
      <c r="J84" s="85"/>
      <c r="K84" s="67" t="n">
        <v>10</v>
      </c>
      <c r="L84" s="108"/>
      <c r="M84" s="129"/>
      <c r="N84" s="59"/>
      <c r="O84" s="160"/>
      <c r="P84" s="4"/>
      <c r="Q84" s="23"/>
      <c r="R84" s="4"/>
      <c r="S84" s="104"/>
      <c r="T84" s="59"/>
      <c r="U84" s="59"/>
      <c r="V84" s="59"/>
      <c r="W84" s="59"/>
      <c r="X84" s="59"/>
      <c r="Y84" s="59"/>
      <c r="Z84" s="104"/>
      <c r="AA84" s="2"/>
      <c r="AB84" s="2"/>
      <c r="AC84" s="2"/>
      <c r="AD84" s="2"/>
      <c r="AE84" s="59"/>
      <c r="AJ84" s="2"/>
    </row>
    <row r="85" customFormat="false" ht="12.8" hidden="false" customHeight="false" outlineLevel="0" collapsed="false">
      <c r="A85" s="53" t="s">
        <v>72</v>
      </c>
      <c r="B85" s="54"/>
      <c r="C85" s="59"/>
      <c r="D85" s="59"/>
      <c r="E85" s="59"/>
      <c r="F85" s="59"/>
      <c r="G85" s="59"/>
      <c r="H85" s="59"/>
      <c r="I85" s="59"/>
      <c r="J85" s="85"/>
      <c r="K85" s="67" t="n">
        <v>20</v>
      </c>
      <c r="L85" s="108"/>
      <c r="M85" s="129"/>
      <c r="N85" s="59"/>
      <c r="O85" s="160"/>
      <c r="P85" s="4"/>
      <c r="Q85" s="23"/>
      <c r="R85" s="4"/>
      <c r="S85" s="104"/>
      <c r="T85" s="59"/>
      <c r="U85" s="59"/>
      <c r="V85" s="59"/>
      <c r="W85" s="59"/>
      <c r="X85" s="59"/>
      <c r="Y85" s="59"/>
      <c r="Z85" s="104"/>
      <c r="AA85" s="2"/>
      <c r="AB85" s="2"/>
      <c r="AC85" s="2"/>
      <c r="AD85" s="2"/>
      <c r="AE85" s="59"/>
      <c r="AJ85" s="2"/>
    </row>
    <row r="86" customFormat="false" ht="12.8" hidden="false" customHeight="false" outlineLevel="0" collapsed="false">
      <c r="A86" s="62" t="s">
        <v>51</v>
      </c>
      <c r="B86" s="54" t="s">
        <v>139</v>
      </c>
      <c r="C86" s="67" t="n">
        <v>600</v>
      </c>
      <c r="D86" s="59" t="n">
        <f aca="false">C86*2</f>
        <v>1200</v>
      </c>
      <c r="E86" s="59"/>
      <c r="F86" s="128" t="n">
        <f aca="false">D86*$F22*$O22/1000</f>
        <v>7.15586113463167</v>
      </c>
      <c r="G86" s="161" t="n">
        <f aca="false">F86*$J38</f>
        <v>20.5036872798481</v>
      </c>
      <c r="H86" s="59" t="n">
        <f aca="false">D86*$F22*$M54/1000</f>
        <v>560.927857747672</v>
      </c>
      <c r="I86" s="162" t="n">
        <f aca="false">H86*$I70</f>
        <v>560.927857747672</v>
      </c>
      <c r="J86" s="163" t="n">
        <f aca="false">G86+I86</f>
        <v>581.43154502752</v>
      </c>
      <c r="K86" s="67" t="n">
        <v>160</v>
      </c>
      <c r="L86" s="162" t="n">
        <f aca="false">D86*K86/1000</f>
        <v>192</v>
      </c>
      <c r="M86" s="164" t="n">
        <v>200</v>
      </c>
      <c r="N86" s="165" t="n">
        <v>20</v>
      </c>
      <c r="O86" s="166" t="n">
        <v>600</v>
      </c>
      <c r="P86" s="4"/>
      <c r="Q86" s="23"/>
      <c r="R86" s="4"/>
      <c r="S86" s="104"/>
      <c r="T86" s="59"/>
      <c r="U86" s="59"/>
      <c r="V86" s="59"/>
      <c r="W86" s="59"/>
      <c r="X86" s="59"/>
      <c r="Y86" s="59"/>
      <c r="Z86" s="104"/>
      <c r="AA86" s="2"/>
      <c r="AB86" s="2"/>
      <c r="AC86" s="2"/>
      <c r="AD86" s="2"/>
      <c r="AE86" s="59"/>
      <c r="AJ86" s="2"/>
    </row>
    <row r="87" customFormat="false" ht="12.8" hidden="false" customHeight="false" outlineLevel="0" collapsed="false">
      <c r="A87" s="53" t="s">
        <v>75</v>
      </c>
      <c r="B87" s="54"/>
      <c r="C87" s="59"/>
      <c r="D87" s="59"/>
      <c r="E87" s="59"/>
      <c r="F87" s="59"/>
      <c r="G87" s="59"/>
      <c r="H87" s="59"/>
      <c r="I87" s="59"/>
      <c r="J87" s="163"/>
      <c r="K87" s="67" t="n">
        <v>20</v>
      </c>
      <c r="L87" s="108"/>
      <c r="M87" s="129"/>
      <c r="N87" s="59"/>
      <c r="O87" s="160"/>
      <c r="P87" s="4"/>
      <c r="Q87" s="23"/>
      <c r="R87" s="4"/>
      <c r="S87" s="104"/>
      <c r="T87" s="59"/>
      <c r="U87" s="59"/>
      <c r="V87" s="59"/>
      <c r="W87" s="59"/>
      <c r="X87" s="59"/>
      <c r="Y87" s="59"/>
      <c r="Z87" s="104"/>
      <c r="AA87" s="2"/>
      <c r="AB87" s="2"/>
      <c r="AC87" s="2"/>
      <c r="AD87" s="2"/>
      <c r="AE87" s="59"/>
      <c r="AJ87" s="2"/>
    </row>
    <row r="88" customFormat="false" ht="12.8" hidden="false" customHeight="false" outlineLevel="0" collapsed="false">
      <c r="A88" s="62" t="s">
        <v>76</v>
      </c>
      <c r="B88" s="54" t="s">
        <v>139</v>
      </c>
      <c r="C88" s="67" t="n">
        <v>600</v>
      </c>
      <c r="D88" s="59" t="n">
        <f aca="false">C88*2</f>
        <v>1200</v>
      </c>
      <c r="E88" s="59" t="n">
        <f aca="false">D88*E$78</f>
        <v>3600</v>
      </c>
      <c r="F88" s="128" t="n">
        <f aca="false">E88*$O24/1000</f>
        <v>1.4215259646069</v>
      </c>
      <c r="G88" s="167" t="n">
        <f aca="false">F88*$J40</f>
        <v>1.4215259646069</v>
      </c>
      <c r="H88" s="59" t="n">
        <f aca="false">E88*$M56/1000</f>
        <v>587.780678851175</v>
      </c>
      <c r="I88" s="108" t="n">
        <f aca="false">H88*$I72</f>
        <v>598.665506237309</v>
      </c>
      <c r="J88" s="163" t="n">
        <f aca="false">G88+I88</f>
        <v>600.087032201915</v>
      </c>
      <c r="K88" s="67" t="n">
        <v>15</v>
      </c>
      <c r="L88" s="162" t="n">
        <f aca="false">E88*K88/1000</f>
        <v>54</v>
      </c>
      <c r="M88" s="164" t="n">
        <v>50</v>
      </c>
      <c r="N88" s="59"/>
      <c r="O88" s="160"/>
      <c r="P88" s="4"/>
      <c r="Q88" s="23"/>
      <c r="R88" s="4"/>
      <c r="S88" s="104"/>
      <c r="T88" s="59"/>
      <c r="U88" s="59"/>
      <c r="V88" s="59"/>
      <c r="W88" s="59"/>
      <c r="X88" s="59"/>
      <c r="Y88" s="59"/>
      <c r="Z88" s="104"/>
      <c r="AA88" s="2"/>
      <c r="AB88" s="2"/>
      <c r="AC88" s="2"/>
      <c r="AD88" s="2"/>
      <c r="AE88" s="59"/>
      <c r="AJ88" s="2"/>
    </row>
    <row r="89" customFormat="false" ht="12.8" hidden="false" customHeight="false" outlineLevel="0" collapsed="false">
      <c r="A89" s="62" t="s">
        <v>77</v>
      </c>
      <c r="B89" s="54" t="s">
        <v>139</v>
      </c>
      <c r="C89" s="67" t="n">
        <v>600</v>
      </c>
      <c r="D89" s="59" t="n">
        <f aca="false">C89*2</f>
        <v>1200</v>
      </c>
      <c r="E89" s="59" t="n">
        <f aca="false">D89*E$78</f>
        <v>3600</v>
      </c>
      <c r="F89" s="128" t="n">
        <f aca="false">E89*$O25/1000</f>
        <v>0.288860882210373</v>
      </c>
      <c r="G89" s="161" t="n">
        <f aca="false">F89*$J41</f>
        <v>0.939168201648085</v>
      </c>
      <c r="H89" s="59" t="n">
        <f aca="false">E89*$M57/1000</f>
        <v>33.4580707707223</v>
      </c>
      <c r="I89" s="162" t="n">
        <f aca="false">H89*$I73</f>
        <v>35.2830564491251</v>
      </c>
      <c r="J89" s="163" t="n">
        <f aca="false">G89+I89</f>
        <v>36.2222246507732</v>
      </c>
      <c r="K89" s="67" t="n">
        <v>30</v>
      </c>
      <c r="L89" s="162" t="n">
        <f aca="false">E89*K89/1000</f>
        <v>108</v>
      </c>
      <c r="M89" s="164" t="n">
        <v>100</v>
      </c>
      <c r="N89" s="165" t="n">
        <v>1</v>
      </c>
      <c r="O89" s="166" t="n">
        <v>30</v>
      </c>
      <c r="P89" s="4"/>
      <c r="Q89" s="23"/>
      <c r="R89" s="4"/>
      <c r="S89" s="104"/>
      <c r="T89" s="59"/>
      <c r="U89" s="59"/>
      <c r="V89" s="59"/>
      <c r="W89" s="59"/>
      <c r="X89" s="59"/>
      <c r="Y89" s="59"/>
      <c r="Z89" s="104"/>
      <c r="AA89" s="2"/>
      <c r="AB89" s="2"/>
      <c r="AC89" s="2"/>
      <c r="AD89" s="2"/>
      <c r="AE89" s="59"/>
      <c r="AJ89" s="2"/>
    </row>
    <row r="90" customFormat="false" ht="12.8" hidden="false" customHeight="false" outlineLevel="0" collapsed="false">
      <c r="A90" s="73" t="s">
        <v>57</v>
      </c>
      <c r="B90" s="74" t="s">
        <v>140</v>
      </c>
      <c r="C90" s="113" t="n">
        <v>2300</v>
      </c>
      <c r="D90" s="82" t="n">
        <f aca="false">C90*2</f>
        <v>4600</v>
      </c>
      <c r="E90" s="82" t="n">
        <f aca="false">D90*E$78</f>
        <v>13800</v>
      </c>
      <c r="F90" s="168" t="n">
        <f aca="false">E90*$O26/1000</f>
        <v>0.0570860000000001</v>
      </c>
      <c r="G90" s="169" t="n">
        <f aca="false">F90*$J42</f>
        <v>0.25346184</v>
      </c>
      <c r="H90" s="82" t="n">
        <f aca="false">E90*$M58/1000</f>
        <v>60.3936087807056</v>
      </c>
      <c r="I90" s="170" t="n">
        <f aca="false">H90*$I74</f>
        <v>60.3936087807056</v>
      </c>
      <c r="J90" s="171" t="n">
        <f aca="false">G90+I90</f>
        <v>60.6470706207056</v>
      </c>
      <c r="K90" s="172" t="n">
        <v>180</v>
      </c>
      <c r="L90" s="170" t="n">
        <f aca="false">E90*K90/1000</f>
        <v>2484</v>
      </c>
      <c r="M90" s="173" t="n">
        <v>2500</v>
      </c>
      <c r="N90" s="174" t="n">
        <v>0.3</v>
      </c>
      <c r="O90" s="175" t="n">
        <v>50</v>
      </c>
      <c r="P90" s="4"/>
      <c r="Q90" s="23"/>
      <c r="R90" s="4"/>
      <c r="S90" s="104"/>
      <c r="T90" s="59"/>
      <c r="U90" s="59"/>
      <c r="V90" s="59"/>
      <c r="W90" s="59"/>
      <c r="X90" s="59"/>
      <c r="Y90" s="59"/>
      <c r="Z90" s="104"/>
      <c r="AA90" s="2"/>
      <c r="AB90" s="2"/>
      <c r="AC90" s="2"/>
      <c r="AD90" s="2"/>
      <c r="AE90" s="59"/>
      <c r="AJ90" s="2"/>
    </row>
    <row r="91" customFormat="false" ht="12.8" hidden="false" customHeight="false" outlineLevel="0" collapsed="false">
      <c r="I91" s="2" t="s">
        <v>141</v>
      </c>
      <c r="J91" s="176" t="s">
        <v>142</v>
      </c>
      <c r="K91" s="177" t="n">
        <v>230</v>
      </c>
      <c r="L91" s="109"/>
      <c r="R91" s="4"/>
      <c r="S91" s="104"/>
      <c r="T91" s="59"/>
      <c r="U91" s="59"/>
      <c r="V91" s="59"/>
      <c r="W91" s="59"/>
      <c r="X91" s="59"/>
      <c r="Y91" s="59"/>
      <c r="Z91" s="104"/>
      <c r="AA91" s="2"/>
      <c r="AB91" s="2"/>
      <c r="AC91" s="2"/>
      <c r="AD91" s="2"/>
      <c r="AE91" s="59"/>
    </row>
    <row r="92" customFormat="false" ht="12.8" hidden="false" customHeight="false" outlineLevel="0" collapsed="false">
      <c r="J92" s="85"/>
      <c r="R92" s="4"/>
      <c r="S92" s="104"/>
      <c r="T92" s="59"/>
      <c r="U92" s="59"/>
      <c r="V92" s="59"/>
      <c r="W92" s="59"/>
      <c r="X92" s="59"/>
      <c r="Y92" s="59"/>
      <c r="Z92" s="104"/>
      <c r="AA92" s="2"/>
      <c r="AB92" s="2"/>
      <c r="AC92" s="2"/>
      <c r="AD92" s="2"/>
      <c r="AE92" s="59"/>
    </row>
    <row r="93" customFormat="false" ht="12.8" hidden="false" customHeight="false" outlineLevel="0" collapsed="false">
      <c r="A93" s="178" t="s">
        <v>143</v>
      </c>
      <c r="J93" s="85"/>
      <c r="R93" s="4"/>
      <c r="S93" s="104"/>
      <c r="T93" s="59"/>
      <c r="U93" s="59"/>
      <c r="V93" s="59"/>
      <c r="W93" s="59"/>
      <c r="X93" s="59"/>
      <c r="Y93" s="59"/>
      <c r="Z93" s="104"/>
      <c r="AA93" s="2"/>
      <c r="AB93" s="2"/>
      <c r="AC93" s="2"/>
      <c r="AD93" s="2"/>
      <c r="AE93" s="59"/>
    </row>
    <row r="94" customFormat="false" ht="12.8" hidden="false" customHeight="false" outlineLevel="0" collapsed="false">
      <c r="A94" s="178"/>
      <c r="B94" s="37"/>
      <c r="C94" s="118" t="s">
        <v>144</v>
      </c>
      <c r="D94" s="118"/>
      <c r="E94" s="118"/>
      <c r="F94" s="34"/>
      <c r="G94" s="34"/>
      <c r="H94" s="36"/>
      <c r="I94" s="6"/>
      <c r="J94" s="6"/>
      <c r="K94" s="6"/>
      <c r="L94" s="6"/>
      <c r="M94" s="85"/>
      <c r="N94" s="6"/>
      <c r="O94" s="6"/>
      <c r="P94" s="179"/>
      <c r="R94" s="4"/>
      <c r="S94" s="104"/>
      <c r="T94" s="59"/>
      <c r="U94" s="59"/>
      <c r="V94" s="59"/>
      <c r="W94" s="59"/>
      <c r="X94" s="59"/>
      <c r="Y94" s="59"/>
      <c r="Z94" s="104"/>
      <c r="AA94" s="2"/>
      <c r="AB94" s="2"/>
      <c r="AC94" s="2"/>
      <c r="AD94" s="2"/>
      <c r="AE94" s="59"/>
    </row>
    <row r="95" customFormat="false" ht="12.8" hidden="false" customHeight="true" outlineLevel="0" collapsed="false">
      <c r="A95" s="42" t="s">
        <v>21</v>
      </c>
      <c r="B95" s="43" t="s">
        <v>145</v>
      </c>
      <c r="C95" s="44" t="s">
        <v>124</v>
      </c>
      <c r="D95" s="45" t="s">
        <v>125</v>
      </c>
      <c r="E95" s="45"/>
      <c r="F95" s="45"/>
      <c r="G95" s="45"/>
      <c r="H95" s="180" t="s">
        <v>146</v>
      </c>
      <c r="I95" s="45" t="s">
        <v>40</v>
      </c>
      <c r="J95" s="45"/>
      <c r="K95" s="45" t="s">
        <v>126</v>
      </c>
      <c r="L95" s="45"/>
      <c r="M95" s="45" t="s">
        <v>127</v>
      </c>
      <c r="N95" s="45" t="s">
        <v>129</v>
      </c>
      <c r="O95" s="46" t="s">
        <v>129</v>
      </c>
      <c r="P95" s="48" t="s">
        <v>64</v>
      </c>
      <c r="Q95" s="48"/>
      <c r="R95" s="157"/>
      <c r="S95" s="159"/>
      <c r="T95" s="108"/>
      <c r="U95" s="108"/>
      <c r="V95" s="108"/>
      <c r="W95" s="108"/>
      <c r="X95" s="108"/>
      <c r="Y95" s="108"/>
      <c r="Z95" s="159"/>
      <c r="AA95" s="109"/>
      <c r="AB95" s="109"/>
      <c r="AC95" s="109"/>
      <c r="AD95" s="109"/>
      <c r="AE95" s="108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  <c r="ALV95" s="41"/>
      <c r="ALW95" s="41"/>
      <c r="ALX95" s="41"/>
      <c r="ALY95" s="41"/>
      <c r="ALZ95" s="41"/>
      <c r="AMA95" s="41"/>
      <c r="AMB95" s="41"/>
      <c r="AMC95" s="41"/>
      <c r="AMD95" s="41"/>
      <c r="AME95" s="41"/>
      <c r="AMF95" s="41"/>
      <c r="AMG95" s="41"/>
      <c r="AMH95" s="41"/>
      <c r="AMI95" s="41"/>
      <c r="AMJ95" s="41"/>
      <c r="AMK95" s="41"/>
      <c r="AML95" s="41"/>
      <c r="AMM95" s="41"/>
      <c r="AMN95" s="41"/>
    </row>
    <row r="96" s="41" customFormat="true" ht="12.8" hidden="false" customHeight="false" outlineLevel="0" collapsed="false">
      <c r="A96" s="42"/>
      <c r="B96" s="43"/>
      <c r="C96" s="49" t="s">
        <v>37</v>
      </c>
      <c r="D96" s="49" t="s">
        <v>130</v>
      </c>
      <c r="E96" s="49" t="s">
        <v>147</v>
      </c>
      <c r="F96" s="49" t="s">
        <v>148</v>
      </c>
      <c r="G96" s="49" t="s">
        <v>131</v>
      </c>
      <c r="H96" s="180"/>
      <c r="I96" s="49" t="s">
        <v>132</v>
      </c>
      <c r="J96" s="49" t="s">
        <v>133</v>
      </c>
      <c r="K96" s="49" t="s">
        <v>132</v>
      </c>
      <c r="L96" s="49" t="s">
        <v>133</v>
      </c>
      <c r="M96" s="49" t="s">
        <v>133</v>
      </c>
      <c r="N96" s="49" t="s">
        <v>135</v>
      </c>
      <c r="O96" s="50" t="s">
        <v>135</v>
      </c>
      <c r="P96" s="49" t="s">
        <v>136</v>
      </c>
      <c r="Q96" s="51" t="s">
        <v>137</v>
      </c>
      <c r="R96" s="157"/>
      <c r="S96" s="159"/>
      <c r="T96" s="108"/>
      <c r="U96" s="108"/>
      <c r="V96" s="108"/>
      <c r="W96" s="108"/>
      <c r="X96" s="108"/>
      <c r="Y96" s="108"/>
      <c r="Z96" s="159"/>
      <c r="AA96" s="109"/>
      <c r="AB96" s="109"/>
      <c r="AC96" s="109"/>
      <c r="AD96" s="109"/>
      <c r="AE96" s="108"/>
    </row>
    <row r="97" s="41" customFormat="true" ht="12.8" hidden="false" customHeight="false" outlineLevel="0" collapsed="false">
      <c r="A97" s="181" t="str">
        <f aca="false">A81</f>
        <v>marche</v>
      </c>
      <c r="B97" s="54" t="s">
        <v>149</v>
      </c>
      <c r="C97" s="67" t="n">
        <v>3</v>
      </c>
      <c r="D97" s="59" t="n">
        <f aca="false">2*C97</f>
        <v>6</v>
      </c>
      <c r="E97" s="67" t="n">
        <v>200</v>
      </c>
      <c r="F97" s="59" t="n">
        <f aca="false">$D97*$E97</f>
        <v>1200</v>
      </c>
      <c r="G97" s="59"/>
      <c r="H97" s="71" t="n">
        <v>1</v>
      </c>
      <c r="I97" s="124" t="n">
        <f aca="false">F97*H97*$O17/1000</f>
        <v>0.12</v>
      </c>
      <c r="J97" s="182" t="n">
        <f aca="false">I97*$J33</f>
        <v>0.12</v>
      </c>
      <c r="K97" s="59" t="n">
        <f aca="false">F97*H97*$M49/1000</f>
        <v>0</v>
      </c>
      <c r="L97" s="162" t="n">
        <f aca="false">K97*$I65</f>
        <v>0</v>
      </c>
      <c r="M97" s="163" t="n">
        <f aca="false">J97+L97</f>
        <v>0.12</v>
      </c>
      <c r="N97" s="162" t="n">
        <f aca="false">(F97+G97)*K81/1000</f>
        <v>0</v>
      </c>
      <c r="O97" s="164" t="n">
        <v>0</v>
      </c>
      <c r="P97" s="165" t="n">
        <v>0.1</v>
      </c>
      <c r="Q97" s="126" t="n">
        <v>0</v>
      </c>
      <c r="R97" s="4"/>
      <c r="S97" s="104"/>
      <c r="T97" s="59"/>
      <c r="U97" s="59"/>
      <c r="V97" s="59"/>
      <c r="W97" s="59"/>
      <c r="X97" s="59"/>
      <c r="Y97" s="59"/>
      <c r="Z97" s="104"/>
      <c r="AA97" s="2"/>
      <c r="AB97" s="2"/>
      <c r="AC97" s="2"/>
      <c r="AD97" s="2"/>
      <c r="AE97" s="59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  <c r="AMK97" s="0"/>
      <c r="AML97" s="0"/>
      <c r="AMM97" s="0"/>
      <c r="AMN97" s="0"/>
    </row>
    <row r="98" customFormat="false" ht="12.8" hidden="false" customHeight="false" outlineLevel="0" collapsed="false">
      <c r="A98" s="181" t="str">
        <f aca="false">A82</f>
        <v>vélo</v>
      </c>
      <c r="B98" s="54" t="s">
        <v>150</v>
      </c>
      <c r="C98" s="67" t="n">
        <v>10</v>
      </c>
      <c r="D98" s="59" t="n">
        <f aca="false">2*C98</f>
        <v>20</v>
      </c>
      <c r="E98" s="67" t="n">
        <f aca="false">E$97</f>
        <v>200</v>
      </c>
      <c r="F98" s="59" t="n">
        <f aca="false">$D98*$E98</f>
        <v>4000</v>
      </c>
      <c r="G98" s="59"/>
      <c r="H98" s="71" t="n">
        <v>1</v>
      </c>
      <c r="I98" s="59" t="n">
        <f aca="false">F98*H98*$O18/1000</f>
        <v>11.4327431007528</v>
      </c>
      <c r="J98" s="161" t="n">
        <f aca="false">I98*$J34</f>
        <v>22.103303328122</v>
      </c>
      <c r="K98" s="59" t="n">
        <f aca="false">F98*H98*$M50/1000</f>
        <v>120.62921410222</v>
      </c>
      <c r="L98" s="162" t="n">
        <f aca="false">K98*$I66</f>
        <v>120.62921410222</v>
      </c>
      <c r="M98" s="163" t="n">
        <f aca="false">J98+L98</f>
        <v>142.732517430342</v>
      </c>
      <c r="N98" s="162" t="n">
        <f aca="false">(F98+G98)*K82/1000</f>
        <v>0</v>
      </c>
      <c r="O98" s="164" t="n">
        <v>0</v>
      </c>
      <c r="P98" s="165" t="n">
        <v>20</v>
      </c>
      <c r="Q98" s="126" t="n">
        <v>100</v>
      </c>
      <c r="R98" s="4"/>
      <c r="S98" s="104"/>
      <c r="T98" s="59"/>
      <c r="U98" s="59"/>
      <c r="V98" s="59"/>
      <c r="W98" s="59"/>
      <c r="X98" s="59"/>
      <c r="Y98" s="59"/>
      <c r="Z98" s="104"/>
      <c r="AA98" s="2"/>
      <c r="AB98" s="2"/>
      <c r="AC98" s="2"/>
      <c r="AD98" s="2"/>
      <c r="AE98" s="59"/>
    </row>
    <row r="99" customFormat="false" ht="12.8" hidden="false" customHeight="false" outlineLevel="0" collapsed="false">
      <c r="A99" s="181" t="str">
        <f aca="false">A83</f>
        <v>autobus</v>
      </c>
      <c r="B99" s="54" t="s">
        <v>151</v>
      </c>
      <c r="C99" s="67" t="n">
        <v>10</v>
      </c>
      <c r="D99" s="59" t="n">
        <f aca="false">2*C99</f>
        <v>20</v>
      </c>
      <c r="E99" s="67" t="n">
        <f aca="false">E$97</f>
        <v>200</v>
      </c>
      <c r="F99" s="59"/>
      <c r="G99" s="59" t="n">
        <f aca="false">D99*E99</f>
        <v>4000</v>
      </c>
      <c r="H99" s="71" t="n">
        <v>0.5</v>
      </c>
      <c r="I99" s="128" t="n">
        <f aca="false">G99*H99*$O19/1000</f>
        <v>1.97643197508819</v>
      </c>
      <c r="J99" s="161" t="n">
        <f aca="false">I99*$J35</f>
        <v>4.94107993772048</v>
      </c>
      <c r="K99" s="59" t="n">
        <f aca="false">G99*H99*$M51/1000</f>
        <v>142.401458190932</v>
      </c>
      <c r="L99" s="162" t="n">
        <f aca="false">K99*$I67</f>
        <v>142.401458190932</v>
      </c>
      <c r="M99" s="163" t="n">
        <f aca="false">J99+L99</f>
        <v>147.342538128652</v>
      </c>
      <c r="N99" s="162" t="n">
        <f aca="false">(F99+G99)*K83/1000</f>
        <v>200</v>
      </c>
      <c r="O99" s="164" t="n">
        <v>200</v>
      </c>
      <c r="P99" s="183" t="n">
        <v>4</v>
      </c>
      <c r="Q99" s="184" t="n">
        <v>80</v>
      </c>
      <c r="R99" s="4"/>
      <c r="S99" s="104"/>
      <c r="T99" s="59"/>
      <c r="U99" s="59"/>
      <c r="V99" s="59"/>
      <c r="W99" s="59"/>
      <c r="X99" s="59"/>
      <c r="Y99" s="59"/>
      <c r="Z99" s="104"/>
      <c r="AA99" s="2"/>
      <c r="AB99" s="2"/>
      <c r="AC99" s="2"/>
      <c r="AD99" s="2"/>
      <c r="AE99" s="59"/>
    </row>
    <row r="100" customFormat="false" ht="12.8" hidden="false" customHeight="false" outlineLevel="0" collapsed="false">
      <c r="A100" s="181" t="str">
        <f aca="false">A84</f>
        <v>tramway</v>
      </c>
      <c r="B100" s="54" t="s">
        <v>152</v>
      </c>
      <c r="C100" s="67" t="n">
        <v>12</v>
      </c>
      <c r="D100" s="59" t="n">
        <f aca="false">2*C100</f>
        <v>24</v>
      </c>
      <c r="E100" s="67" t="n">
        <f aca="false">E$97</f>
        <v>200</v>
      </c>
      <c r="F100" s="59"/>
      <c r="G100" s="59" t="n">
        <f aca="false">D100*E100</f>
        <v>4800</v>
      </c>
      <c r="H100" s="71" t="n">
        <v>0.5</v>
      </c>
      <c r="I100" s="128" t="n">
        <f aca="false">G100*H100*$O20/1000</f>
        <v>1.24864463905326</v>
      </c>
      <c r="J100" s="161" t="n">
        <f aca="false">I100*$J36</f>
        <v>3.12161159763314</v>
      </c>
      <c r="K100" s="59" t="n">
        <f aca="false">G100*H100*$M52/1000</f>
        <v>27.4556213017752</v>
      </c>
      <c r="L100" s="162" t="n">
        <f aca="false">K100*$I68</f>
        <v>27.4556213017752</v>
      </c>
      <c r="M100" s="163" t="n">
        <f aca="false">J100+L100</f>
        <v>30.5772328994083</v>
      </c>
      <c r="N100" s="162" t="n">
        <f aca="false">(F100+G100)*K84/1000</f>
        <v>48</v>
      </c>
      <c r="O100" s="164" t="n">
        <v>50</v>
      </c>
      <c r="P100" s="183"/>
      <c r="Q100" s="184"/>
      <c r="R100" s="4"/>
      <c r="S100" s="104"/>
      <c r="T100" s="59"/>
      <c r="U100" s="59"/>
      <c r="V100" s="59"/>
      <c r="W100" s="59"/>
      <c r="X100" s="59"/>
      <c r="Y100" s="59"/>
      <c r="Z100" s="104"/>
      <c r="AA100" s="2"/>
      <c r="AB100" s="2"/>
      <c r="AC100" s="2"/>
      <c r="AD100" s="2"/>
      <c r="AE100" s="59"/>
    </row>
    <row r="101" customFormat="false" ht="12.8" hidden="false" customHeight="false" outlineLevel="0" collapsed="false">
      <c r="A101" s="144" t="str">
        <f aca="false">A85</f>
        <v>métro</v>
      </c>
      <c r="B101" s="54" t="s">
        <v>152</v>
      </c>
      <c r="C101" s="67" t="n">
        <v>15</v>
      </c>
      <c r="D101" s="59" t="n">
        <f aca="false">2*C101</f>
        <v>30</v>
      </c>
      <c r="E101" s="67" t="n">
        <f aca="false">E$97</f>
        <v>200</v>
      </c>
      <c r="F101" s="59"/>
      <c r="G101" s="59" t="n">
        <f aca="false">D101*E101</f>
        <v>6000</v>
      </c>
      <c r="H101" s="71" t="n">
        <v>0.5</v>
      </c>
      <c r="I101" s="128" t="n">
        <f aca="false">G101*H101*$O21/1000</f>
        <v>1.2902009483532</v>
      </c>
      <c r="J101" s="128" t="n">
        <f aca="false">I101*$J37</f>
        <v>3.22550237088299</v>
      </c>
      <c r="K101" s="59" t="n">
        <f aca="false">G101*H101*$M53/1000</f>
        <v>15.840061514802</v>
      </c>
      <c r="L101" s="59" t="n">
        <f aca="false">K101*$I69</f>
        <v>15.840061514802</v>
      </c>
      <c r="M101" s="163" t="n">
        <f aca="false">J101+L101</f>
        <v>19.065563885685</v>
      </c>
      <c r="N101" s="108" t="n">
        <f aca="false">(F101+G101)*K85/1000</f>
        <v>120</v>
      </c>
      <c r="O101" s="129"/>
      <c r="P101" s="59"/>
      <c r="Q101" s="121"/>
      <c r="R101" s="4"/>
      <c r="S101" s="104"/>
      <c r="T101" s="59"/>
      <c r="U101" s="59"/>
      <c r="V101" s="59"/>
      <c r="W101" s="59"/>
      <c r="X101" s="59"/>
      <c r="Y101" s="59"/>
      <c r="Z101" s="104"/>
      <c r="AA101" s="2"/>
      <c r="AB101" s="2"/>
      <c r="AC101" s="2"/>
      <c r="AD101" s="2"/>
      <c r="AE101" s="59"/>
    </row>
    <row r="102" customFormat="false" ht="12.8" hidden="false" customHeight="false" outlineLevel="0" collapsed="false">
      <c r="A102" s="181" t="str">
        <f aca="false">A86</f>
        <v>voiture</v>
      </c>
      <c r="B102" s="54" t="s">
        <v>153</v>
      </c>
      <c r="C102" s="67" t="n">
        <v>25</v>
      </c>
      <c r="D102" s="59" t="n">
        <f aca="false">2*C102</f>
        <v>50</v>
      </c>
      <c r="E102" s="67" t="n">
        <f aca="false">E$97</f>
        <v>200</v>
      </c>
      <c r="F102" s="59" t="n">
        <f aca="false">$D102*$E102</f>
        <v>10000</v>
      </c>
      <c r="G102" s="59"/>
      <c r="H102" s="167" t="n">
        <f aca="false">F22</f>
        <v>1.6</v>
      </c>
      <c r="I102" s="59" t="n">
        <f aca="false">F102*H102*$O22/1000</f>
        <v>59.6321761219306</v>
      </c>
      <c r="J102" s="162" t="n">
        <f aca="false">I102*$J38</f>
        <v>170.864060665401</v>
      </c>
      <c r="K102" s="59" t="n">
        <f aca="false">F102*H102*$M54/1000</f>
        <v>4674.39881456394</v>
      </c>
      <c r="L102" s="162" t="n">
        <f aca="false">K102*$I70</f>
        <v>4674.39881456394</v>
      </c>
      <c r="M102" s="163" t="n">
        <f aca="false">J102+L102</f>
        <v>4845.26287522934</v>
      </c>
      <c r="N102" s="162" t="n">
        <f aca="false">(F102+G102)*K86/1000</f>
        <v>1600</v>
      </c>
      <c r="O102" s="164" t="n">
        <v>1500</v>
      </c>
      <c r="P102" s="165" t="n">
        <v>150</v>
      </c>
      <c r="Q102" s="126" t="n">
        <v>4000</v>
      </c>
      <c r="R102" s="4"/>
      <c r="S102" s="104"/>
      <c r="T102" s="59"/>
      <c r="U102" s="59"/>
      <c r="V102" s="59"/>
      <c r="W102" s="59"/>
      <c r="X102" s="59"/>
      <c r="Y102" s="59"/>
      <c r="Z102" s="104"/>
      <c r="AA102" s="2"/>
      <c r="AB102" s="2"/>
      <c r="AC102" s="2"/>
      <c r="AD102" s="2"/>
      <c r="AE102" s="59"/>
    </row>
    <row r="103" customFormat="false" ht="12.8" hidden="false" customHeight="false" outlineLevel="0" collapsed="false">
      <c r="A103" s="144" t="str">
        <f aca="false">A87</f>
        <v>RER</v>
      </c>
      <c r="B103" s="54" t="s">
        <v>153</v>
      </c>
      <c r="C103" s="67" t="n">
        <v>30</v>
      </c>
      <c r="D103" s="59" t="n">
        <f aca="false">2*C103</f>
        <v>60</v>
      </c>
      <c r="E103" s="67" t="n">
        <f aca="false">E$97</f>
        <v>200</v>
      </c>
      <c r="F103" s="59"/>
      <c r="G103" s="59" t="n">
        <f aca="false">D103*E103</f>
        <v>12000</v>
      </c>
      <c r="H103" s="71" t="n">
        <v>0.5</v>
      </c>
      <c r="I103" s="128" t="n">
        <f aca="false">G103*H103*$O23/1000</f>
        <v>0.646029056933106</v>
      </c>
      <c r="J103" s="128" t="n">
        <f aca="false">I103*$J39</f>
        <v>1.61507264233276</v>
      </c>
      <c r="K103" s="59" t="n">
        <f aca="false">G103*H103*$M55/1000</f>
        <v>36.9628831048822</v>
      </c>
      <c r="L103" s="59" t="n">
        <f aca="false">K103*$I71</f>
        <v>36.9628831048822</v>
      </c>
      <c r="M103" s="163" t="n">
        <f aca="false">J103+L103</f>
        <v>38.5779557472149</v>
      </c>
      <c r="N103" s="108" t="n">
        <f aca="false">(F103+G103)*K87/1000</f>
        <v>240</v>
      </c>
      <c r="O103" s="129"/>
      <c r="P103" s="59"/>
      <c r="Q103" s="121"/>
      <c r="R103" s="4"/>
      <c r="S103" s="104"/>
      <c r="T103" s="59"/>
      <c r="U103" s="59"/>
      <c r="V103" s="59"/>
      <c r="W103" s="59"/>
      <c r="X103" s="59"/>
      <c r="Y103" s="59"/>
      <c r="Z103" s="104"/>
      <c r="AA103" s="2"/>
      <c r="AB103" s="2"/>
      <c r="AC103" s="2"/>
      <c r="AD103" s="2"/>
      <c r="AE103" s="59"/>
    </row>
    <row r="104" customFormat="false" ht="12.8" hidden="false" customHeight="false" outlineLevel="0" collapsed="false">
      <c r="A104" s="181" t="str">
        <f aca="false">A88</f>
        <v>train</v>
      </c>
      <c r="B104" s="54" t="s">
        <v>154</v>
      </c>
      <c r="C104" s="67" t="n">
        <v>50</v>
      </c>
      <c r="D104" s="59" t="n">
        <f aca="false">2*C104</f>
        <v>100</v>
      </c>
      <c r="E104" s="67" t="n">
        <f aca="false">E$97</f>
        <v>200</v>
      </c>
      <c r="F104" s="59"/>
      <c r="G104" s="59" t="n">
        <f aca="false">D104*E104</f>
        <v>20000</v>
      </c>
      <c r="H104" s="71" t="n">
        <v>0.8</v>
      </c>
      <c r="I104" s="128" t="n">
        <f aca="false">G104*H104*$O24/1000</f>
        <v>6.31789317603069</v>
      </c>
      <c r="J104" s="128" t="n">
        <f aca="false">I104*$J40</f>
        <v>6.31789317603069</v>
      </c>
      <c r="K104" s="59" t="n">
        <f aca="false">G104*H104*$M56/1000</f>
        <v>2612.35857267189</v>
      </c>
      <c r="L104" s="59" t="n">
        <f aca="false">K104*$I72</f>
        <v>2660.73558327693</v>
      </c>
      <c r="M104" s="163" t="n">
        <f aca="false">J104+L104</f>
        <v>2667.05347645296</v>
      </c>
      <c r="N104" s="162" t="n">
        <f aca="false">(F104+G104)*K88/1000</f>
        <v>300</v>
      </c>
      <c r="O104" s="164" t="n">
        <v>300</v>
      </c>
      <c r="P104" s="59"/>
      <c r="Q104" s="121"/>
      <c r="R104" s="4"/>
      <c r="S104" s="104"/>
      <c r="T104" s="59"/>
      <c r="U104" s="59"/>
      <c r="V104" s="59"/>
      <c r="W104" s="59"/>
      <c r="X104" s="59"/>
      <c r="Y104" s="59"/>
      <c r="Z104" s="104"/>
      <c r="AA104" s="2"/>
      <c r="AB104" s="2"/>
      <c r="AC104" s="2"/>
      <c r="AD104" s="2"/>
      <c r="AE104" s="59"/>
    </row>
    <row r="105" customFormat="false" ht="12.8" hidden="false" customHeight="false" outlineLevel="0" collapsed="false">
      <c r="A105" s="181" t="str">
        <f aca="false">A89</f>
        <v>TGV</v>
      </c>
      <c r="B105" s="54" t="s">
        <v>155</v>
      </c>
      <c r="C105" s="67" t="n">
        <v>200</v>
      </c>
      <c r="D105" s="59" t="n">
        <f aca="false">2*C105</f>
        <v>400</v>
      </c>
      <c r="E105" s="67" t="n">
        <f aca="false">E$97*2.5/5</f>
        <v>100</v>
      </c>
      <c r="F105" s="59"/>
      <c r="G105" s="59" t="n">
        <f aca="false">D105*E105</f>
        <v>40000</v>
      </c>
      <c r="H105" s="71" t="n">
        <v>1</v>
      </c>
      <c r="I105" s="128" t="n">
        <f aca="false">G105*H105*$O25/1000</f>
        <v>3.20956535789304</v>
      </c>
      <c r="J105" s="161" t="n">
        <f aca="false">I105*$J41</f>
        <v>10.4352022405343</v>
      </c>
      <c r="K105" s="59" t="n">
        <f aca="false">G105*H105*$M57/1000</f>
        <v>371.756341896914</v>
      </c>
      <c r="L105" s="162" t="n">
        <f aca="false">K105*$I73</f>
        <v>392.033960545835</v>
      </c>
      <c r="M105" s="163" t="n">
        <f aca="false">J105+L105</f>
        <v>402.469162786369</v>
      </c>
      <c r="N105" s="162" t="n">
        <f aca="false">(F105+G105)*K89/1000</f>
        <v>1200</v>
      </c>
      <c r="O105" s="164" t="n">
        <v>1000</v>
      </c>
      <c r="P105" s="165" t="n">
        <v>10</v>
      </c>
      <c r="Q105" s="126" t="n">
        <v>300</v>
      </c>
      <c r="R105" s="4"/>
      <c r="S105" s="104"/>
      <c r="T105" s="59"/>
      <c r="U105" s="59"/>
      <c r="V105" s="59"/>
      <c r="W105" s="59"/>
      <c r="X105" s="59"/>
      <c r="Y105" s="59"/>
      <c r="Z105" s="104"/>
      <c r="AA105" s="2"/>
      <c r="AB105" s="2"/>
      <c r="AC105" s="2"/>
      <c r="AD105" s="2"/>
      <c r="AE105" s="59"/>
    </row>
    <row r="106" customFormat="false" ht="12.8" hidden="false" customHeight="false" outlineLevel="0" collapsed="false">
      <c r="A106" s="185" t="str">
        <f aca="false">A90</f>
        <v>avion</v>
      </c>
      <c r="B106" s="74" t="s">
        <v>156</v>
      </c>
      <c r="C106" s="113" t="n">
        <v>700</v>
      </c>
      <c r="D106" s="82" t="n">
        <f aca="false">2*C106</f>
        <v>1400</v>
      </c>
      <c r="E106" s="113" t="n">
        <f aca="false">E$97*1/5</f>
        <v>40</v>
      </c>
      <c r="F106" s="82"/>
      <c r="G106" s="82" t="n">
        <f aca="false">D106*E106</f>
        <v>56000</v>
      </c>
      <c r="H106" s="186" t="n">
        <v>1</v>
      </c>
      <c r="I106" s="168" t="n">
        <f aca="false">G106*H106*$O26/1000</f>
        <v>0.231653333333334</v>
      </c>
      <c r="J106" s="187" t="n">
        <f aca="false">I106*$J42</f>
        <v>1.0285408</v>
      </c>
      <c r="K106" s="82" t="n">
        <f aca="false">G106*H106*$M58/1000</f>
        <v>245.075513892718</v>
      </c>
      <c r="L106" s="170" t="n">
        <f aca="false">K106*$I74</f>
        <v>245.075513892718</v>
      </c>
      <c r="M106" s="171" t="n">
        <f aca="false">J106+L106</f>
        <v>246.104054692718</v>
      </c>
      <c r="N106" s="170" t="n">
        <f aca="false">(F106+G106)*K91/1000</f>
        <v>12880</v>
      </c>
      <c r="O106" s="173" t="n">
        <v>12000</v>
      </c>
      <c r="P106" s="188" t="n">
        <v>1</v>
      </c>
      <c r="Q106" s="136" t="n">
        <v>200</v>
      </c>
      <c r="R106" s="4"/>
      <c r="S106" s="104"/>
      <c r="T106" s="59"/>
      <c r="U106" s="59"/>
      <c r="V106" s="59"/>
      <c r="W106" s="59"/>
      <c r="X106" s="59"/>
      <c r="Y106" s="59"/>
      <c r="Z106" s="104"/>
      <c r="AA106" s="2"/>
      <c r="AB106" s="2"/>
      <c r="AC106" s="2"/>
      <c r="AD106" s="2"/>
      <c r="AE106" s="59"/>
    </row>
    <row r="107" customFormat="false" ht="12.8" hidden="false" customHeight="false" outlineLevel="0" collapsed="false">
      <c r="A107" s="2"/>
      <c r="M107" s="85"/>
      <c r="N107" s="1"/>
      <c r="O107" s="1"/>
      <c r="P107" s="4"/>
      <c r="Q107" s="24"/>
      <c r="R107" s="4"/>
      <c r="S107" s="104"/>
      <c r="T107" s="59"/>
      <c r="U107" s="59"/>
      <c r="V107" s="59"/>
      <c r="W107" s="59"/>
      <c r="X107" s="59"/>
      <c r="Y107" s="59"/>
      <c r="Z107" s="104"/>
      <c r="AA107" s="2"/>
      <c r="AB107" s="2"/>
      <c r="AC107" s="2"/>
      <c r="AD107" s="2"/>
      <c r="AE107" s="59"/>
    </row>
    <row r="108" customFormat="false" ht="12.8" hidden="false" customHeight="false" outlineLevel="0" collapsed="false">
      <c r="A108" s="6" t="s">
        <v>157</v>
      </c>
      <c r="I108" s="0"/>
      <c r="J108" s="0"/>
      <c r="K108" s="0"/>
      <c r="L108" s="0"/>
      <c r="M108" s="0"/>
      <c r="N108" s="1"/>
      <c r="O108" s="1"/>
      <c r="P108" s="4"/>
      <c r="Q108" s="24"/>
      <c r="R108" s="4"/>
      <c r="S108" s="104"/>
      <c r="T108" s="59"/>
      <c r="U108" s="59"/>
      <c r="V108" s="59"/>
      <c r="W108" s="59"/>
      <c r="X108" s="59"/>
      <c r="Y108" s="59"/>
      <c r="Z108" s="104"/>
      <c r="AA108" s="2"/>
      <c r="AB108" s="2"/>
      <c r="AC108" s="2"/>
      <c r="AD108" s="2"/>
      <c r="AE108" s="59"/>
    </row>
    <row r="109" customFormat="false" ht="12.8" hidden="false" customHeight="false" outlineLevel="0" collapsed="false">
      <c r="A109" s="2" t="s">
        <v>158</v>
      </c>
      <c r="B109" s="115" t="s">
        <v>159</v>
      </c>
      <c r="C109" s="115"/>
      <c r="D109" s="115"/>
      <c r="E109" s="115"/>
      <c r="F109" s="115"/>
      <c r="G109" s="115"/>
      <c r="H109" s="115"/>
      <c r="I109" s="0"/>
      <c r="J109" s="0"/>
      <c r="K109" s="0"/>
      <c r="L109" s="0"/>
      <c r="M109" s="0"/>
      <c r="N109" s="4"/>
      <c r="O109" s="0"/>
      <c r="P109" s="0"/>
      <c r="Q109" s="23"/>
      <c r="R109" s="104"/>
      <c r="S109" s="59"/>
      <c r="T109" s="59"/>
      <c r="U109" s="59"/>
      <c r="V109" s="59"/>
      <c r="W109" s="59"/>
      <c r="X109" s="59"/>
      <c r="Y109" s="104"/>
      <c r="Z109" s="2"/>
      <c r="AA109" s="2"/>
      <c r="AB109" s="2"/>
      <c r="AC109" s="2"/>
      <c r="AD109" s="59"/>
    </row>
    <row r="110" customFormat="false" ht="12.8" hidden="false" customHeight="false" outlineLevel="0" collapsed="false">
      <c r="A110" s="2" t="s">
        <v>160</v>
      </c>
      <c r="B110" s="115" t="s">
        <v>161</v>
      </c>
      <c r="C110" s="115"/>
      <c r="D110" s="115"/>
      <c r="E110" s="115"/>
      <c r="F110" s="115"/>
      <c r="G110" s="115"/>
      <c r="H110" s="115"/>
      <c r="I110" s="0"/>
      <c r="J110" s="0"/>
      <c r="K110" s="0"/>
      <c r="L110" s="0"/>
      <c r="M110" s="0"/>
      <c r="N110" s="4"/>
      <c r="O110" s="0"/>
      <c r="P110" s="0"/>
      <c r="Q110" s="23"/>
      <c r="R110" s="104"/>
      <c r="S110" s="59"/>
      <c r="T110" s="59"/>
      <c r="U110" s="59"/>
      <c r="V110" s="59"/>
      <c r="W110" s="59"/>
      <c r="X110" s="59"/>
      <c r="Y110" s="104"/>
      <c r="Z110" s="2"/>
      <c r="AA110" s="2"/>
      <c r="AB110" s="2"/>
      <c r="AC110" s="2"/>
      <c r="AD110" s="59"/>
    </row>
    <row r="111" customFormat="false" ht="12.8" hidden="false" customHeight="false" outlineLevel="0" collapsed="false">
      <c r="A111" s="2" t="s">
        <v>162</v>
      </c>
      <c r="B111" s="115" t="s">
        <v>163</v>
      </c>
      <c r="C111" s="115"/>
      <c r="D111" s="115"/>
      <c r="E111" s="115"/>
      <c r="F111" s="115"/>
      <c r="G111" s="115"/>
      <c r="H111" s="115"/>
      <c r="J111" s="0"/>
      <c r="K111" s="0"/>
      <c r="L111" s="0"/>
      <c r="M111" s="0"/>
      <c r="N111" s="4"/>
      <c r="O111" s="0"/>
      <c r="P111" s="0"/>
      <c r="Q111" s="23"/>
      <c r="R111" s="104"/>
      <c r="S111" s="59"/>
      <c r="T111" s="59"/>
      <c r="U111" s="59"/>
      <c r="V111" s="59"/>
      <c r="W111" s="59"/>
      <c r="X111" s="59"/>
      <c r="Y111" s="104"/>
      <c r="Z111" s="2"/>
      <c r="AA111" s="2"/>
      <c r="AB111" s="2"/>
      <c r="AC111" s="2"/>
      <c r="AD111" s="59"/>
    </row>
    <row r="112" customFormat="false" ht="12.8" hidden="false" customHeight="false" outlineLevel="0" collapsed="false">
      <c r="A112" s="2" t="s">
        <v>164</v>
      </c>
      <c r="B112" s="115" t="s">
        <v>165</v>
      </c>
      <c r="C112" s="115"/>
      <c r="D112" s="115"/>
      <c r="E112" s="115"/>
      <c r="F112" s="115"/>
      <c r="G112" s="115"/>
      <c r="H112" s="115"/>
      <c r="I112" s="0"/>
      <c r="J112" s="0"/>
      <c r="K112" s="0"/>
      <c r="L112" s="0"/>
      <c r="M112" s="0"/>
      <c r="N112" s="4"/>
      <c r="O112" s="0"/>
      <c r="P112" s="0"/>
      <c r="Q112" s="23"/>
      <c r="R112" s="104"/>
      <c r="S112" s="59"/>
      <c r="T112" s="59"/>
      <c r="U112" s="59"/>
      <c r="V112" s="59"/>
      <c r="W112" s="59"/>
      <c r="X112" s="59"/>
      <c r="Y112" s="104"/>
      <c r="Z112" s="2"/>
      <c r="AA112" s="2"/>
      <c r="AB112" s="2"/>
      <c r="AC112" s="2"/>
      <c r="AD112" s="59"/>
    </row>
    <row r="113" customFormat="false" ht="12.8" hidden="false" customHeight="false" outlineLevel="0" collapsed="false">
      <c r="A113" s="2" t="s">
        <v>166</v>
      </c>
      <c r="B113" s="115" t="s">
        <v>167</v>
      </c>
      <c r="C113" s="115"/>
      <c r="D113" s="115"/>
      <c r="E113" s="115"/>
      <c r="F113" s="115"/>
      <c r="G113" s="115"/>
      <c r="H113" s="115"/>
      <c r="Q113" s="23"/>
      <c r="R113" s="104"/>
      <c r="S113" s="59"/>
      <c r="T113" s="59"/>
      <c r="U113" s="59"/>
      <c r="V113" s="59"/>
      <c r="W113" s="59"/>
      <c r="X113" s="59"/>
      <c r="Y113" s="104"/>
      <c r="Z113" s="2"/>
      <c r="AA113" s="2"/>
      <c r="AB113" s="2"/>
      <c r="AC113" s="2"/>
      <c r="AD113" s="59"/>
    </row>
    <row r="114" customFormat="false" ht="12.8" hidden="false" customHeight="false" outlineLevel="0" collapsed="false">
      <c r="A114" s="2"/>
      <c r="B114" s="115"/>
      <c r="C114" s="115"/>
      <c r="D114" s="115"/>
      <c r="E114" s="115"/>
      <c r="F114" s="115"/>
      <c r="G114" s="115"/>
      <c r="H114" s="115"/>
      <c r="Q114" s="23"/>
      <c r="R114" s="104"/>
      <c r="S114" s="59"/>
      <c r="T114" s="59"/>
      <c r="U114" s="59"/>
      <c r="V114" s="59"/>
      <c r="W114" s="59"/>
      <c r="X114" s="59"/>
      <c r="Y114" s="104"/>
      <c r="Z114" s="2"/>
      <c r="AA114" s="2"/>
      <c r="AB114" s="2"/>
      <c r="AC114" s="2"/>
      <c r="AD114" s="59"/>
    </row>
    <row r="115" customFormat="false" ht="12.8" hidden="false" customHeight="false" outlineLevel="0" collapsed="false">
      <c r="Q115" s="23"/>
      <c r="R115" s="104"/>
      <c r="S115" s="59"/>
      <c r="T115" s="59"/>
      <c r="U115" s="59"/>
      <c r="V115" s="59"/>
      <c r="W115" s="59"/>
      <c r="X115" s="59"/>
      <c r="Y115" s="104"/>
      <c r="Z115" s="2"/>
      <c r="AA115" s="2"/>
      <c r="AB115" s="2"/>
      <c r="AC115" s="2"/>
      <c r="AD115" s="59"/>
    </row>
    <row r="116" customFormat="false" ht="12.8" hidden="false" customHeight="false" outlineLevel="0" collapsed="false">
      <c r="Q116" s="23"/>
      <c r="R116" s="104"/>
      <c r="S116" s="59"/>
      <c r="T116" s="59"/>
      <c r="U116" s="59"/>
      <c r="V116" s="59"/>
      <c r="W116" s="59"/>
      <c r="X116" s="59"/>
      <c r="Y116" s="104"/>
      <c r="Z116" s="2"/>
      <c r="AA116" s="2"/>
      <c r="AB116" s="2"/>
      <c r="AC116" s="2"/>
      <c r="AD116" s="59"/>
    </row>
    <row r="117" customFormat="false" ht="12.8" hidden="false" customHeight="false" outlineLevel="0" collapsed="false">
      <c r="Q117" s="23"/>
      <c r="R117" s="104"/>
      <c r="S117" s="59"/>
      <c r="T117" s="59"/>
      <c r="U117" s="59"/>
      <c r="V117" s="59"/>
      <c r="W117" s="59"/>
      <c r="X117" s="59"/>
      <c r="Y117" s="104"/>
      <c r="Z117" s="2"/>
      <c r="AA117" s="2"/>
      <c r="AB117" s="2"/>
      <c r="AC117" s="2"/>
      <c r="AD117" s="59"/>
    </row>
    <row r="118" customFormat="false" ht="12.8" hidden="false" customHeight="false" outlineLevel="0" collapsed="false">
      <c r="Q118" s="23"/>
      <c r="R118" s="104"/>
      <c r="S118" s="59"/>
      <c r="T118" s="59"/>
      <c r="U118" s="59"/>
      <c r="V118" s="59"/>
      <c r="W118" s="59"/>
      <c r="X118" s="59"/>
      <c r="Y118" s="104"/>
      <c r="Z118" s="2"/>
      <c r="AA118" s="2"/>
      <c r="AB118" s="2"/>
      <c r="AC118" s="2"/>
      <c r="AD118" s="59"/>
    </row>
    <row r="119" customFormat="false" ht="12.8" hidden="false" customHeight="false" outlineLevel="0" collapsed="false">
      <c r="Q119" s="23"/>
      <c r="R119" s="104"/>
      <c r="S119" s="59"/>
      <c r="T119" s="59"/>
      <c r="U119" s="59"/>
      <c r="V119" s="59"/>
      <c r="W119" s="59"/>
      <c r="X119" s="59"/>
      <c r="Y119" s="104"/>
      <c r="Z119" s="2"/>
      <c r="AA119" s="2"/>
      <c r="AB119" s="2"/>
      <c r="AC119" s="2"/>
      <c r="AD119" s="59"/>
    </row>
    <row r="120" customFormat="false" ht="12.8" hidden="false" customHeight="false" outlineLevel="0" collapsed="false">
      <c r="Q120" s="23"/>
      <c r="R120" s="104"/>
      <c r="S120" s="59"/>
      <c r="T120" s="59"/>
      <c r="U120" s="59"/>
      <c r="V120" s="59"/>
      <c r="W120" s="59"/>
      <c r="X120" s="59"/>
      <c r="Y120" s="104"/>
      <c r="Z120" s="2"/>
      <c r="AA120" s="2"/>
      <c r="AB120" s="2"/>
      <c r="AC120" s="2"/>
      <c r="AD120" s="59"/>
    </row>
    <row r="121" customFormat="false" ht="12.8" hidden="false" customHeight="false" outlineLevel="0" collapsed="false">
      <c r="Q121" s="23"/>
      <c r="R121" s="104"/>
      <c r="S121" s="59"/>
      <c r="T121" s="59"/>
      <c r="U121" s="59"/>
      <c r="V121" s="59"/>
      <c r="W121" s="59"/>
      <c r="X121" s="59"/>
      <c r="Y121" s="104"/>
      <c r="Z121" s="2"/>
      <c r="AA121" s="2"/>
      <c r="AB121" s="2"/>
      <c r="AC121" s="2"/>
      <c r="AD121" s="59"/>
    </row>
    <row r="122" customFormat="false" ht="12.8" hidden="false" customHeight="false" outlineLevel="0" collapsed="false">
      <c r="Q122" s="23"/>
      <c r="R122" s="104"/>
      <c r="S122" s="59"/>
      <c r="T122" s="59"/>
      <c r="U122" s="59"/>
      <c r="V122" s="59"/>
      <c r="W122" s="59"/>
      <c r="X122" s="59"/>
      <c r="Y122" s="104"/>
      <c r="Z122" s="2"/>
      <c r="AA122" s="2"/>
      <c r="AB122" s="2"/>
      <c r="AC122" s="2"/>
      <c r="AD122" s="59"/>
    </row>
    <row r="123" customFormat="false" ht="12.8" hidden="false" customHeight="false" outlineLevel="0" collapsed="false">
      <c r="R123" s="1"/>
      <c r="S123" s="1"/>
      <c r="T123" s="1"/>
      <c r="U123" s="1"/>
      <c r="AD123" s="1"/>
      <c r="AE123" s="4"/>
    </row>
    <row r="124" customFormat="false" ht="12.8" hidden="false" customHeight="false" outlineLevel="0" collapsed="false">
      <c r="R124" s="1"/>
      <c r="S124" s="1"/>
      <c r="T124" s="1"/>
      <c r="U124" s="1"/>
      <c r="AD124" s="1"/>
      <c r="AE124" s="4"/>
    </row>
    <row r="125" customFormat="false" ht="12.8" hidden="false" customHeight="false" outlineLevel="0" collapsed="false">
      <c r="R125" s="6"/>
      <c r="S125" s="8"/>
      <c r="T125" s="0"/>
      <c r="U125" s="0"/>
      <c r="AD125" s="0"/>
    </row>
    <row r="126" customFormat="false" ht="12.8" hidden="false" customHeight="false" outlineLevel="0" collapsed="false">
      <c r="T126" s="0"/>
      <c r="U126" s="0"/>
      <c r="AD126" s="0"/>
    </row>
    <row r="127" customFormat="false" ht="12.8" hidden="false" customHeight="false" outlineLevel="0" collapsed="false">
      <c r="T127" s="0"/>
      <c r="U127" s="0"/>
      <c r="AD127" s="0"/>
    </row>
    <row r="128" customFormat="false" ht="12.8" hidden="false" customHeight="false" outlineLevel="0" collapsed="false">
      <c r="T128" s="0"/>
      <c r="U128" s="0"/>
      <c r="AD128" s="0"/>
    </row>
    <row r="129" customFormat="false" ht="12.8" hidden="false" customHeight="false" outlineLevel="0" collapsed="false">
      <c r="T129" s="0"/>
      <c r="U129" s="0"/>
      <c r="AD129" s="0"/>
    </row>
    <row r="130" customFormat="false" ht="12.8" hidden="false" customHeight="false" outlineLevel="0" collapsed="false">
      <c r="T130" s="0"/>
      <c r="U130" s="0"/>
      <c r="AD130" s="0"/>
    </row>
    <row r="131" customFormat="false" ht="12.8" hidden="false" customHeight="false" outlineLevel="0" collapsed="false">
      <c r="T131" s="0"/>
      <c r="U131" s="0"/>
      <c r="AD131" s="0"/>
    </row>
    <row r="132" customFormat="false" ht="12.8" hidden="false" customHeight="false" outlineLevel="0" collapsed="false">
      <c r="T132" s="0"/>
      <c r="U132" s="0"/>
      <c r="AD132" s="0"/>
    </row>
    <row r="133" customFormat="false" ht="12.8" hidden="false" customHeight="false" outlineLevel="0" collapsed="false">
      <c r="T133" s="0"/>
      <c r="U133" s="0"/>
      <c r="AD133" s="0"/>
    </row>
    <row r="134" customFormat="false" ht="12.8" hidden="false" customHeight="false" outlineLevel="0" collapsed="false">
      <c r="T134" s="0"/>
      <c r="U134" s="0"/>
      <c r="AD134" s="0"/>
    </row>
    <row r="135" customFormat="false" ht="12.8" hidden="false" customHeight="false" outlineLevel="0" collapsed="false">
      <c r="T135" s="0"/>
      <c r="U135" s="0"/>
      <c r="AD135" s="0"/>
    </row>
    <row r="136" customFormat="false" ht="12.8" hidden="false" customHeight="false" outlineLevel="0" collapsed="false">
      <c r="T136" s="0"/>
      <c r="U136" s="0"/>
      <c r="AD136" s="0"/>
    </row>
    <row r="137" customFormat="false" ht="12.8" hidden="false" customHeight="false" outlineLevel="0" collapsed="false">
      <c r="T137" s="0"/>
      <c r="U137" s="0"/>
      <c r="AD137" s="0"/>
    </row>
    <row r="138" customFormat="false" ht="12.8" hidden="false" customHeight="false" outlineLevel="0" collapsed="false">
      <c r="Q138" s="24"/>
      <c r="R138" s="0"/>
      <c r="S138" s="0"/>
      <c r="T138" s="0"/>
      <c r="U138" s="0"/>
      <c r="AD138" s="0"/>
    </row>
    <row r="139" customFormat="false" ht="12.8" hidden="false" customHeight="false" outlineLevel="0" collapsed="false">
      <c r="Q139" s="24"/>
      <c r="R139" s="0"/>
      <c r="S139" s="0"/>
      <c r="T139" s="0"/>
      <c r="U139" s="0"/>
      <c r="AD139" s="0"/>
    </row>
    <row r="140" customFormat="false" ht="12.8" hidden="false" customHeight="false" outlineLevel="0" collapsed="false">
      <c r="Q140" s="24"/>
      <c r="R140" s="0"/>
      <c r="S140" s="0"/>
      <c r="T140" s="0"/>
      <c r="U140" s="0"/>
      <c r="AD140" s="0"/>
    </row>
    <row r="141" customFormat="false" ht="12.8" hidden="false" customHeight="false" outlineLevel="0" collapsed="false">
      <c r="Q141" s="24"/>
      <c r="R141" s="0"/>
      <c r="S141" s="0"/>
      <c r="T141" s="0"/>
      <c r="U141" s="0"/>
      <c r="AD141" s="0"/>
    </row>
    <row r="142" customFormat="false" ht="12.8" hidden="false" customHeight="false" outlineLevel="0" collapsed="false">
      <c r="Q142" s="24"/>
      <c r="R142" s="0"/>
      <c r="S142" s="0"/>
      <c r="T142" s="0"/>
      <c r="U142" s="0"/>
      <c r="AD142" s="0"/>
    </row>
    <row r="143" customFormat="false" ht="12.8" hidden="false" customHeight="false" outlineLevel="0" collapsed="false">
      <c r="Q143" s="24"/>
      <c r="R143" s="0"/>
      <c r="S143" s="0"/>
      <c r="T143" s="0"/>
      <c r="U143" s="0"/>
      <c r="AD143" s="0"/>
    </row>
  </sheetData>
  <mergeCells count="48">
    <mergeCell ref="B11:H11"/>
    <mergeCell ref="I14:J14"/>
    <mergeCell ref="N14:O14"/>
    <mergeCell ref="A15:A16"/>
    <mergeCell ref="B15:B16"/>
    <mergeCell ref="L15:M15"/>
    <mergeCell ref="O15:P15"/>
    <mergeCell ref="O16:P16"/>
    <mergeCell ref="G46:H46"/>
    <mergeCell ref="A47:A48"/>
    <mergeCell ref="B47:B48"/>
    <mergeCell ref="I47:K47"/>
    <mergeCell ref="M47:N47"/>
    <mergeCell ref="O47:P47"/>
    <mergeCell ref="M48:N48"/>
    <mergeCell ref="O48:P48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A79:A80"/>
    <mergeCell ref="B79:B80"/>
    <mergeCell ref="D79:E79"/>
    <mergeCell ref="F79:G79"/>
    <mergeCell ref="H79:I79"/>
    <mergeCell ref="K79:L79"/>
    <mergeCell ref="N79:O79"/>
    <mergeCell ref="C94:E94"/>
    <mergeCell ref="A95:A96"/>
    <mergeCell ref="B95:B96"/>
    <mergeCell ref="D95:G95"/>
    <mergeCell ref="H95:H96"/>
    <mergeCell ref="I95:J95"/>
    <mergeCell ref="K95:L95"/>
    <mergeCell ref="P95:Q95"/>
    <mergeCell ref="P99:P100"/>
    <mergeCell ref="Q99:Q100"/>
    <mergeCell ref="B109:H109"/>
    <mergeCell ref="B110:H110"/>
    <mergeCell ref="B111:H111"/>
    <mergeCell ref="B112:H112"/>
    <mergeCell ref="B113:H113"/>
    <mergeCell ref="B114:H114"/>
  </mergeCells>
  <hyperlinks>
    <hyperlink ref="B3" r:id="rId1" display="ADEME Base Carbone v22"/>
    <hyperlink ref="B4" r:id="rId2" display="MTE Datalab 2021-05 Chiffres clés transport"/>
    <hyperlink ref="B5" r:id="rId3" display="MTE Datalab 2021-12 Marcher et pédaler"/>
    <hyperlink ref="B6" r:id="rId4" display="Airbus Global Market"/>
    <hyperlink ref="C7" r:id="rId5" display="tramway IdF"/>
    <hyperlink ref="D7" r:id="rId6" display="métro de Paris"/>
    <hyperlink ref="E7" r:id="rId7" display="RER IdF"/>
    <hyperlink ref="F7" r:id="rId8" display="voiture corail"/>
    <hyperlink ref="G7" r:id="rId9" display="TGV duplex"/>
    <hyperlink ref="H7" r:id="rId10" display="Airbus A320"/>
    <hyperlink ref="K32" r:id="rId11" display="source : L'Elémentarium / élément / données industrielles / teneurs des minerais"/>
    <hyperlink ref="K38" r:id="rId12" display="ORNL, US transportation energy data book edition 40, février 2022, table 4.20"/>
    <hyperlink ref="K41" r:id="rId13" display="L'Usine Nouvelle, 14 sept. 1995, 8 t d'aluminium par wagon ; wikipédia, 8 moteurs de 1500 kg"/>
    <hyperlink ref="J70" r:id="rId14" display="266 000 ponts =&gt; 1 pont tous les 4 km"/>
    <hyperlink ref="J73" r:id="rId15" display="RFF, Bilan Carbone de la LGV Rhin-Rhône"/>
  </hyperlinks>
  <printOptions headings="false" gridLines="false" gridLinesSet="true" horizontalCentered="false" verticalCentered="false"/>
  <pageMargins left="0.590277777777778" right="0.590277777777778" top="0.590277777777778" bottom="0.590277777777778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5071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2023-07-05T09:10:30Z</dcterms:created>
  <dc:creator/>
  <dc:description/>
  <dc:language>fr-FR</dc:language>
  <cp:lastModifiedBy/>
  <cp:lastPrinted>2023-02-07T13:29:49Z</cp:lastPrinted>
  <dcterms:modified xsi:type="dcterms:W3CDTF">2023-07-06T08:30:37Z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